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Σπουδ. Πρωτ. κ. Δευτ. Εκπαίδευσης\Δνση Ειδ. Αγωγής κ. Εκπαίδευσης\Τμήμα Β Σχολικων Δομών\ΤΜΗΜΑΤΑ ΕΝΤΑΞΗΣ\"/>
    </mc:Choice>
  </mc:AlternateContent>
  <bookViews>
    <workbookView xWindow="0" yWindow="0" windowWidth="28800" windowHeight="12585"/>
  </bookViews>
  <sheets>
    <sheet name="ΑΘΜΙΑ" sheetId="1" r:id="rId1"/>
  </sheets>
  <definedNames>
    <definedName name="_xlnm._FilterDatabase" localSheetId="0" hidden="1">ΑΘΜΙΑ!$A$1:$L$5597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97" i="1" l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<sst xmlns="http://schemas.openxmlformats.org/spreadsheetml/2006/main" count="50307" uniqueCount="17956">
  <si>
    <t>Περιφερειακή Δ/νση Π/θμιας και Δ/θμιας Εκπ/σης</t>
  </si>
  <si>
    <t>Διεύθυνση Εκπ/σης</t>
  </si>
  <si>
    <t>Είδος</t>
  </si>
  <si>
    <t>Τύπος Σχολείου</t>
  </si>
  <si>
    <t>Κωδ. ΥΠΑΙΘΑ</t>
  </si>
  <si>
    <t>Ονομασία</t>
  </si>
  <si>
    <t>Τηλέφωνο</t>
  </si>
  <si>
    <t>e-mail</t>
  </si>
  <si>
    <t>Δήμος</t>
  </si>
  <si>
    <t>Περιοχή</t>
  </si>
  <si>
    <t>Ταχ. Διεύθυνση</t>
  </si>
  <si>
    <t>ΤΚ</t>
  </si>
  <si>
    <t>ΑΝ. ΜΑΚΕΔΟΝΙΑΣ ΚΑΙ ΘΡΑΚΗΣ</t>
  </si>
  <si>
    <t>Π.Ε. ΔΡΑΜΑΣ</t>
  </si>
  <si>
    <t>Δημοτικά Σχολεία</t>
  </si>
  <si>
    <t>Ενιαίου Τύπου Ολοήμερο Δημοτικό Σχολείο</t>
  </si>
  <si>
    <t>ΟΛΟΗΜΕΡΟ ΔΗΜΟΤΙΚΟ ΣΧΟΛΕΙΟ ΝΕΑΣ ΑΜΙΣΟΥ</t>
  </si>
  <si>
    <t>mail@dim-n-amisou.dra.sch.gr</t>
  </si>
  <si>
    <t>ΔΡΑΜΑΣ</t>
  </si>
  <si>
    <t>ΝΕΑ ΑΜΙΣΟΣ</t>
  </si>
  <si>
    <t>ΝΕΑΣ ΙΩΝΙΑΣ 44</t>
  </si>
  <si>
    <t>3ο ΟΛΟΗΜΕΡΟ ΔΗΜΟΤΙΚΟ ΣΧΟΛΕΙΟ ΔΡΑΜΑΣ</t>
  </si>
  <si>
    <t>mail@3dim-dramas.dra.sch.gr</t>
  </si>
  <si>
    <t>Δράμα</t>
  </si>
  <si>
    <t>ΛΕΩΦΟΡΟΣ ΣΤΡΑΤΟΥ 63</t>
  </si>
  <si>
    <t>Νηπιαγωγεία</t>
  </si>
  <si>
    <t>Ενιαίου Τύπου Ολοήμερο Νηπιαγωγείο</t>
  </si>
  <si>
    <t>19ο 2/ΘΕΣΙΟ ΝΗΠΙΑΓΩΓΕΙΟ ΔΡΑΜΑΣ</t>
  </si>
  <si>
    <t>mail@19nip-dramas.dra.sch.gr</t>
  </si>
  <si>
    <t>ΠΕΡΣΕΦΟΝΗΣ 11</t>
  </si>
  <si>
    <t>6ο ΝΗΠΙΑΓΩΓΕΙΟ ΔΡΑΜΑΣ</t>
  </si>
  <si>
    <t>mail@6nip-dramas.dra.sch.gr</t>
  </si>
  <si>
    <t>ΟΔΥΣΕΩΣ ΚΑΙ ΚΑΣΤΡΙΝΟΥ</t>
  </si>
  <si>
    <t>8ο ΟΛΟΗΜΕΡΟ ΝΗΠΙΑΓΩΓΕΙΟ ΔΡΑΜΑΣ</t>
  </si>
  <si>
    <t>mail@8nip-dramas.dra.sch.gr</t>
  </si>
  <si>
    <t>ΤΡΟΙΑΣ 6</t>
  </si>
  <si>
    <t>13ο ΝΗΠΙΑΓΩΓΕΙΟ ΔΡΑΜΑΣ</t>
  </si>
  <si>
    <t>mail@13nip-dramas.dra.sch.gr</t>
  </si>
  <si>
    <t>ΙΠΠΟΚΡΑΤΟΥΣ 39</t>
  </si>
  <si>
    <t>21ο ΟΛΟΗΜΕΡΟ ΝΗΠΙΑΓΩΓΕΙΟ ΔΡΑΜΑΣ</t>
  </si>
  <si>
    <t>mail@21nip-dramas.dra.sch.gr</t>
  </si>
  <si>
    <t>ΙΟΥΣΤΙΝΙΑΝΟΥ 72</t>
  </si>
  <si>
    <t>ΔΗΜΟΤΙΚΟ ΣΧΟΛΕΙΟ ΒΩΛΑΚΑ</t>
  </si>
  <si>
    <t>mail@dim-volak.dra.sch.gr</t>
  </si>
  <si>
    <t>ΚΑΤΩ ΝΕΥΡΟΚΟΠΙΟΥ</t>
  </si>
  <si>
    <t>Βώλακας</t>
  </si>
  <si>
    <t>Βώλακας ,</t>
  </si>
  <si>
    <t>2ο 2/ΘΕΣΙΟ ΝΗΠΙΑΓΩΓΕΙΟ ΠΡΟΣΟΤΣΑΝΗΣ</t>
  </si>
  <si>
    <t>mail@2nip-prosots.dra.sch.gr</t>
  </si>
  <si>
    <t>ΠΡΟΣΟΤΣΑΝΗΣ</t>
  </si>
  <si>
    <t>ΕΛ ΒΕΝΙΖΕΛΟΥ 63</t>
  </si>
  <si>
    <t>1ο ΝΗΠΙΑΓΩΓΕΙΟ ΔΟΞΑΤΟΥ</t>
  </si>
  <si>
    <t>mail@1nip-doxat.dra.sch.gr</t>
  </si>
  <si>
    <t>ΔΟΞΑΤΟΥ</t>
  </si>
  <si>
    <t>ΕΘΝΙΚΗΣ ΑΝΤΙΣΤΑΣΕΩΣ 1</t>
  </si>
  <si>
    <t>1ο ΔΗΜΟΤΙΚΟ ΣΧΟΛΕΙΟ ΚΑΤΩ ΝΕΥΡΟΚΟΠΙΟΥ</t>
  </si>
  <si>
    <t>mail@dim-kat-nevrok.dra.sch.gr</t>
  </si>
  <si>
    <t>ΚΑΤΩ ΝΕΥΡΟΚΟΠΙ</t>
  </si>
  <si>
    <t>5ο ΔΗΜΟΤΙΚΟ ΣΧΟΛΕΙΟ ΔΡΑΜΑΣ</t>
  </si>
  <si>
    <t>mail@5dim-dramas.dra.sch.gr</t>
  </si>
  <si>
    <t>Γαληνού 110</t>
  </si>
  <si>
    <t>4ο ΔΗΜΟΤΙΚΟ ΣΧΟΛΕΙΟ ΔΡΑΜΑΣ</t>
  </si>
  <si>
    <t>mail@4dim-dramas.dra.sch.gr</t>
  </si>
  <si>
    <t>ΔΡΑΜΑ</t>
  </si>
  <si>
    <t>ΑΚΡΟΠΟΛΕΩΣ 100</t>
  </si>
  <si>
    <t>14ο ΔΗΜΟΤΙΚΟ ΣΧΟΛΕΙΟ ΔΡΑΜΑΣ</t>
  </si>
  <si>
    <t>mail@14dim-dramas.dra.sch.gr</t>
  </si>
  <si>
    <t>ΜΗΤΡΟΠΟΛΙΤΟΥ ΛΑΥΡΕΝΤΙΟΥ 54</t>
  </si>
  <si>
    <t>1ο ΝΗΠΙΑΓΩΓΕΙΟ ΚΑΛΑΜΠΑΚΙΟΥ</t>
  </si>
  <si>
    <t>mail@1nip-kalamp.dra.sch.gr</t>
  </si>
  <si>
    <t>ΚΑΛΑΜΠΑΚΙΟΥ</t>
  </si>
  <si>
    <t>ΚΑΛΑΜΠΑΚΙ</t>
  </si>
  <si>
    <t>5ο ΝΗΠΙΑΓΩΓΕΙΟ ΔΡΑΜΑΣ</t>
  </si>
  <si>
    <t>mail@5nip-dramas.dra.sch.gr</t>
  </si>
  <si>
    <t>ΠΑΠΑΦΛΕΣΣΑ 9</t>
  </si>
  <si>
    <t>15ο ΔΗΜΟΤΙΚΟ ΣΧΟΛΕΙΟ ΔΡΑΜΑΣ ΓΕΩΡΓΙΟΣ ΒΙΖΥΗΝΟΣ</t>
  </si>
  <si>
    <t>mail@15dim-dramas.dra.sch.gr</t>
  </si>
  <si>
    <t>ΠΑΡΜΕΝΙΩΝΟΣ ΤΕΡΜΑ</t>
  </si>
  <si>
    <t>1ο ΝΗΠΙΑΓΩΓΕΙΟ ΧΩΡΙΣΤΗΣ</t>
  </si>
  <si>
    <t>mail@1nip-chorist.dra.sch.gr</t>
  </si>
  <si>
    <t>ΧΩΡΙΣΤΗ</t>
  </si>
  <si>
    <t>ΔΗΜΟΤΙΚΟ ΣΧΟΛΕΙΟ ΜΑΥΡΟΒΑΤΟΥ-ΝΕΑΣ ΣΕΒΑΣΤΕΙΑΣ</t>
  </si>
  <si>
    <t>mail@dim-mavrovat.dra.sch.gr</t>
  </si>
  <si>
    <t>ΜΑΥΡΟΒΑΤΟΣ</t>
  </si>
  <si>
    <t>1ο ΝΗΠΙΑΓΩΓΕΙΟ ΞΗΡΟΠΟΤΑΜΟΥ</t>
  </si>
  <si>
    <t>mail@nip-xirop.dra.sch.gr</t>
  </si>
  <si>
    <t>ΞΗΡΟΠΟΤΑΜΟΥ</t>
  </si>
  <si>
    <t>ΞΗΡΟΠΟΤΑΜΟΣ</t>
  </si>
  <si>
    <t>1ο ΔΗΜΟΤΙΚΟ ΣΧΟΛΕΙΟ ΑΓΙΟΥ ΑΘΑΝΑΣΙΟΥ</t>
  </si>
  <si>
    <t>mail@1dim-ag-athan.dra.sch.gr</t>
  </si>
  <si>
    <t xml:space="preserve">ΑΓΙΟΣ ΑΘΑΝΑΣΙΟΣ  </t>
  </si>
  <si>
    <t>ΟΜΟΝΟΙΑΣ 8</t>
  </si>
  <si>
    <t>9ο ΔΗΜΟΤΙΚΟ ΣΧΟΛΕΙΟ ΔΡΑΜΑΣ</t>
  </si>
  <si>
    <t>mail@9dim-dramas.dra.sch.gr</t>
  </si>
  <si>
    <t>ΜΟΡΓΚΕΝΤΑΟΥ 4</t>
  </si>
  <si>
    <t>ΔΗΜΟΤΙΚΟ ΣΧΟΛΕΙΟ ΑΡΓΥΡΟΥΠΟΛΗΣ-ΣΙΤΑΓΡΩΝ</t>
  </si>
  <si>
    <t>mail@dim-sitagr.dra.sch.gr</t>
  </si>
  <si>
    <t>ΑΡΓΥΡΟΥΠΟΛΗΣ-ΣΙΤΑΓΡΩΝ</t>
  </si>
  <si>
    <t>ΣΙΤΑΓΡΟΙ</t>
  </si>
  <si>
    <t>6ο ΔΗΜΟΤΙΚΟ ΣΧΟΛΕΙΟ ΔΡΑΜΑΣ</t>
  </si>
  <si>
    <t>mail@6dim-dramas.dra.sch.gr</t>
  </si>
  <si>
    <t>ΑΡΚΑΔΙΟΥ 1 -ΠΕΡΙΟΧΗ ΚΟΜΝΗΝΩΝ</t>
  </si>
  <si>
    <t>ΔΗΜΟΤΙΚΟ ΣΧΟΛΕΙΟ ΑΡΚΑΔΙΚΟΥ</t>
  </si>
  <si>
    <t>mail@dim-arkad.dra.sch.gr</t>
  </si>
  <si>
    <t>ΑΡΚΑΔΙΚΟΣ</t>
  </si>
  <si>
    <t>ΠΛΑΚΑΣ</t>
  </si>
  <si>
    <t>8ο ΔΗΜΟΤΙΚΟ ΣΧΟΛΕΙΟ ΔΡΑΜΑΣ</t>
  </si>
  <si>
    <t>mail@8dim-dramas.dra.sch.gr</t>
  </si>
  <si>
    <t>2ο ΔΗΜΟΤΙΚΟ ΣΧΟΛΕΙΟ ΑΓΙΟΥ ΑΘΑΝΑΣΙΟΥ</t>
  </si>
  <si>
    <t>mail@2dim-ag-athan.dra.sch.gr</t>
  </si>
  <si>
    <t>ΑΓΙΟΣ ΑΘΑΝΑΣΙΟΣ</t>
  </si>
  <si>
    <t>25ης Μαρτίου 8 και Μπογιαλικίου</t>
  </si>
  <si>
    <t>7ο ΔΗΜΟΤΙΚΟ ΣΧΟΛΕΙΟ ΔΡΑΜΑΣ</t>
  </si>
  <si>
    <t>mail@7dim-dramas.dra.sch.gr</t>
  </si>
  <si>
    <t>ΑΓΑΘΟΥΠΟΛΕΩΣ 15</t>
  </si>
  <si>
    <t>2ο ΔΗΜΟΤΙΚΟ ΣΧΟΛΕΙΟ ΔΡΑΜΑΣ</t>
  </si>
  <si>
    <t>mail@2dim-dramas.dra.sch.gr</t>
  </si>
  <si>
    <t>ΝΙΚΟΜΗΔΕΙΑΣ 2</t>
  </si>
  <si>
    <t>ΔΗΜΟΤΙΚΟ ΣΧΟΛΕΙΟ ΚΥΡΓΙΩΝ</t>
  </si>
  <si>
    <t>mail@dim-kyrgion.dra.sch.gr</t>
  </si>
  <si>
    <t>ΚΥΡΓΙΑ</t>
  </si>
  <si>
    <t>ΚΥΡΓΙΑ-ΔΡΑΜΑΣ</t>
  </si>
  <si>
    <t>1ο Νηπιαγωγείο Δράμας</t>
  </si>
  <si>
    <t>mail@1nip-dramas.dra.sch.gr</t>
  </si>
  <si>
    <t>ΚΕΦΑΛΗΝΙΑΣ</t>
  </si>
  <si>
    <t>13ο ΔΗΜΟΤΙΚΟ ΣΧΟΛΕΙΟ ΔΡΑΜΑΣ</t>
  </si>
  <si>
    <t>mail@13dim-dramas.dra.sch.gr</t>
  </si>
  <si>
    <t>ΕΡΓΑΤΙΚΕΣ ΚΑΤΟΙΚΙΕΣ ΑΡΚΑΔΙΚΟΥ</t>
  </si>
  <si>
    <t>1ο ΔΗΜΟΤΙΚΟ ΣΧΟΛΕΙΟ ΔΡΑΜΑΣ</t>
  </si>
  <si>
    <t>1dimdramas@sch.gr</t>
  </si>
  <si>
    <t>Αδριανουπόλεως 42</t>
  </si>
  <si>
    <t>10ο ΔΗΜΟΤΙΚΟ ΣΧΟΛΕΙΟ ΔΡΑΜΑΣ</t>
  </si>
  <si>
    <t>mail@10dim-dramas.dra.sch.gr</t>
  </si>
  <si>
    <t>ΔΡΑΜΑ,</t>
  </si>
  <si>
    <t>ΠΑΠΑΦΛΕΣΣΑ 10</t>
  </si>
  <si>
    <t>11ο ΔΗΜΟΤΙΚΟ ΣΧΟΛΕΙΟ ΔΡΑΜΑΣ</t>
  </si>
  <si>
    <t>mail@11dim-dramas.dra.sch.gr</t>
  </si>
  <si>
    <t>ΒΑΚΧΟΥ ΤΕΡΜΑ ΑΜΠΕΛΟΚΗΠΟΙ</t>
  </si>
  <si>
    <t>12ο ΟΛΟΗΜΕΡΟ ΔΗΜΟΤΙΚΟ ΣΧΟΛΕΙΟ ΔΡΑΜΑΣ - ΕΚΠΑΙΔΕΥΤΗΡΙΑ</t>
  </si>
  <si>
    <t>mail@12dim-dramas.dra.sch.gr</t>
  </si>
  <si>
    <t>ΑΓΙΟΥ ΧΡΥΣΟΣΤΟΜΟΥ 1</t>
  </si>
  <si>
    <t>ΔΗΜΟΤΙΚΟ ΣΧΟΛΕΙΟ ΞΗΡΟΠΟΤΑΜΟΥ</t>
  </si>
  <si>
    <t>mail@dim-xirop.dra.sch.gr</t>
  </si>
  <si>
    <t>Ξηροπόταμος</t>
  </si>
  <si>
    <t>ΔΗΜΟΤΙΚΟ ΣΧΟΛΕΙΟ ΦΩΤΟΛΙΒΟΥΣ</t>
  </si>
  <si>
    <t>mail@dim-fotol.dra.sch.gr</t>
  </si>
  <si>
    <t>ΦΩΤΟΛΙΒΟΣ</t>
  </si>
  <si>
    <t>ΔΗΜΟΤΙΚΟ ΣΧΟΛΕΙΟ ΠΕΤΡΟΥΣΑΣ</t>
  </si>
  <si>
    <t>mail@dim-petrous.dra.sch.gr</t>
  </si>
  <si>
    <t>ΠΕΤΡΟΥΣΑ</t>
  </si>
  <si>
    <t>1ο ΔΗΜΟΤΙΚΟ ΣΧΟΛΕΙΟ ΚΑΛΑΜΠΑΚΙΟΥ</t>
  </si>
  <si>
    <t>mail@1dim-kalamp.dra.sch.gr</t>
  </si>
  <si>
    <t>Καλαμπάκι</t>
  </si>
  <si>
    <t>Αγίου Αθανασίου</t>
  </si>
  <si>
    <t>2ο ΟΛΟΗΜΕΡΟ ΔΗΜΟΤΙΚΟ ΣΧΟΛΕΙΟ ΚΑΛΑΜΠΑΚΙΟΥ</t>
  </si>
  <si>
    <t>mail@2dim-kalamp.dra.sch.gr</t>
  </si>
  <si>
    <t>Α.ΠΑΠΑΝΔΡΕΟΥ 51</t>
  </si>
  <si>
    <t>ΔΗΜΟΤΙΚΟ ΣΧΟΛΕΙΟ ΑΓΙΟΣ ΧΡΥΣΟΣΤΟΜΟΣ</t>
  </si>
  <si>
    <t>mail@1dim-prosots.dra.sch.gr</t>
  </si>
  <si>
    <t>ΠΡΟΣΟΤΣΑΝΗ</t>
  </si>
  <si>
    <t>ΘΕΡΜΟΠΥΛΩΝ 2</t>
  </si>
  <si>
    <t>ΔΗΜΟΤΙΚΟ ΣΧΟΛΕΙΟ ΧΩΡΙΣΤΗΣ</t>
  </si>
  <si>
    <t>mail@dim-chorist.dra.sch.gr</t>
  </si>
  <si>
    <t>ΔΗΜΟΤΙΚΟ ΣΧΟΛΕΙΟ ΑΔΡΙΑΝΗΣ - ΝΙΚΗΦΟΡΟΥ</t>
  </si>
  <si>
    <t>mail@dim-adrian.dra.sch.gr</t>
  </si>
  <si>
    <t>ΠΑΡΑΝΕΣΤΙΟΥ</t>
  </si>
  <si>
    <t>ΑΔΡΙΑΝΗ</t>
  </si>
  <si>
    <t>ΟΛΟΗΜΕΡΟ ΔΗΜΟΤΙΚΟ ΣΧΟΛΕΙΟ ΔΟΞΑΤΟΥ</t>
  </si>
  <si>
    <t>mail@dim-doxat.dra.sch.gr</t>
  </si>
  <si>
    <t>Δοξάτο,</t>
  </si>
  <si>
    <t>1ο ΝΗΠΙΑΓΩΓΕΙΟ ΚΑΤΩ ΝΕΥΡΟΚΟΠΙΟΥ</t>
  </si>
  <si>
    <t>mail@1nip-kat-nevrok.dra.sch.gr</t>
  </si>
  <si>
    <t>Κ.ΝΕΥΡΟΚΟΠΙ</t>
  </si>
  <si>
    <t>ΝΗΠΙΑΓΩΓΕΙΟ ΠΑΡΑΝΕΣΤΙΟΥ</t>
  </si>
  <si>
    <t>mail@nip-paran.dra.sch.gr</t>
  </si>
  <si>
    <t>ΠΑΡΑΝΕΣΤΙ</t>
  </si>
  <si>
    <t>1ο ΝΗΠΙΑΓΩΓΕΙΟ ΠΡΟΣΟΤΣΑΝΗΣ - ΑΡΕΤΗ ΒΟΓΙΑΤΖΗ ΜΕΛΑΔΙΝΗ</t>
  </si>
  <si>
    <t>mail@1nip-prosots.dra.sch.gr</t>
  </si>
  <si>
    <t>ΑΓΙΟΥ ΠΑΝΤΕΛΕΗΜΟΝΟΣ 2</t>
  </si>
  <si>
    <t xml:space="preserve">Ολιγοθέσιο Ολοήμερο Δημοτικό Σχολείο </t>
  </si>
  <si>
    <t>ΔΗΜΟΤΙΚΟ ΣΧΟΛΕΙΟ ΠΑΡΑΝΕΣΤΙΟΥ</t>
  </si>
  <si>
    <t>mail@dim-paran.dra.sch.gr</t>
  </si>
  <si>
    <t xml:space="preserve">ΠΑΡΑΝΕΣΤΙ </t>
  </si>
  <si>
    <t>ΠΑΡΑΝΕΣΤΙ ΔΡΑΜΑΣ</t>
  </si>
  <si>
    <t>1ο ΝΗΠΙΑΓΩΓΕΙΟ ΠΕΤΡΟΥΣΑΣ</t>
  </si>
  <si>
    <t>mail@1nip-petrous.dra.sch.gr</t>
  </si>
  <si>
    <t>16ο ΔΗΜΟΤΙΚΟ ΣΧΟΛΕΙΟ ΔΡΑΜΑΣ</t>
  </si>
  <si>
    <t>mail@16dim-dramas.dra.sch.gr</t>
  </si>
  <si>
    <t>ΤΕΡΜΑ ΕΥΞΕΙΝΟΥ ΠΟΝΤΟΥ</t>
  </si>
  <si>
    <t>3ο ΔΗΜΟΤΙΚΟ ΣΧΟΛΕΙΟ ΠΡΟΣΟΤΣΑΝΗΣ</t>
  </si>
  <si>
    <t>mail@3dim-prosots.dra.sch.gr</t>
  </si>
  <si>
    <t>Τέρμα ΠΑΥΛΟΥ ΜΕΛΑ</t>
  </si>
  <si>
    <t>Π.Ε. ΕΒΡΟΥ</t>
  </si>
  <si>
    <t>ΔΗΜΟΤΙΚΟ ΣΧΟΛΕΙΟ ΜΑΪΣΤΡΟΥ</t>
  </si>
  <si>
    <t>mail@dim-maistr.evr.sch.gr</t>
  </si>
  <si>
    <t>ΑΛΕΞΑΝΔΡΟΥΠΟΛΗΣ</t>
  </si>
  <si>
    <t>ΜΑΪΣΤΡΟΣ ΑΛΕΞΑΝΔΡΟΥΠΟΛΗΣ</t>
  </si>
  <si>
    <t>ΑΜΦΙΤΡΙΤΗΣ 18</t>
  </si>
  <si>
    <t>14ο ΝΗΠΙΑΓΩΓΕΙΟ ΑΛΕΞΑΝΔΡΟΥΠΟΛΗΣ</t>
  </si>
  <si>
    <t>mail@14nip-alexandr.evr.sch.gr</t>
  </si>
  <si>
    <t>Καλλιθέα/Αλεξανδρούπολης</t>
  </si>
  <si>
    <t>Ήρας και Φαναρίου Γωνία</t>
  </si>
  <si>
    <t>3ο ΝΗΠΙΑΓΩΓΕΙΟ ΑΛΕΞΑΝΔΡΟΥΠΟΛΗΣ</t>
  </si>
  <si>
    <t>mail@3nip-alexandr.evr.sch.gr</t>
  </si>
  <si>
    <t>14ης ΜΑΙΟΥ 37</t>
  </si>
  <si>
    <t>17ο ΝΗΠΙΑΓΩΓΕΙΟ ΑΛΕΞΑΝΔΡΟΥΠΟΛΗΣ</t>
  </si>
  <si>
    <t>mail@17nip-alexandr.evr.sch.gr</t>
  </si>
  <si>
    <t>ΣΑΡΑΝΤΑ ΕΚΚΛΗΣΙΩΝ 26</t>
  </si>
  <si>
    <t>10ο ΝΗΠΙΑΓΩΓΕΙΟ ΑΛΕΞΑΝΔΡΟΥΠΟΛΗΣ</t>
  </si>
  <si>
    <t>mail@10nip-alexandr.evr.sch.gr</t>
  </si>
  <si>
    <t>ΚΑΛΛΙΠΟΛΕΩΣ 6</t>
  </si>
  <si>
    <t>ΔΗΜΟΤΙΚΟ ΣΧΟΛΕΙΟ ΔΙΚΑΙΩΝ</t>
  </si>
  <si>
    <t>mail@dim-dikaion.evr.sch.gr</t>
  </si>
  <si>
    <t>ΟΡΕΣΤΙΑΔΟΣ</t>
  </si>
  <si>
    <t>ΔΙΚΑΙΑ</t>
  </si>
  <si>
    <t>Πάροδος Όλγας και οδός Ερμού   ΔΙΚΑΙΑ</t>
  </si>
  <si>
    <t>ΔΗΜΟΤΙΚΟ ΣΧΟΛΕΙΟ ΡΙΖΙΩΝ</t>
  </si>
  <si>
    <t>mail@dim-rizion.evr.sch.gr</t>
  </si>
  <si>
    <t>ΡΙΖΙΑ</t>
  </si>
  <si>
    <t>ΘΡΑΚΗΣ  3</t>
  </si>
  <si>
    <t>7ο ΔΗΜΟΤΙΚΟ ΣΧΟΛΕΙΟ ΟΡΕΣΤΙΑΔΑΣ</t>
  </si>
  <si>
    <t>mail@7dim-orest.evr.sch.gr</t>
  </si>
  <si>
    <t>ΟΡΕΣΤΙΑΔΑ</t>
  </si>
  <si>
    <t>ΕΝΘΟΜΑΡΤΥΡΩΝ 5</t>
  </si>
  <si>
    <t>3ο ΝΗΠΙΑΓΩΓΕΙΟ ΟΡΕΣΤΙΑΔΑΣ</t>
  </si>
  <si>
    <t>mail@3nip-orest.evr.sch.gr</t>
  </si>
  <si>
    <t>ΟΡΕΣΤΙΑΔΑΣ</t>
  </si>
  <si>
    <t>ΑΓΙΩΝ ΘΕΟΔΩΡΩΝ 201</t>
  </si>
  <si>
    <t>4ο ΔΗΜΟΤΙΚΟ ΣΧΟΛΕΙΟ ΑΛΕΞΑΝΔΡΟΥΠΟΛΗΣ " ΧΡΟΝΗΣ ΑΗΔΟΝΙΔΗΣ "</t>
  </si>
  <si>
    <t>mail@4dim-alexandr.evr.sch.gr</t>
  </si>
  <si>
    <t>ΑΛΕΞΑΝΔΡΟΥΠΟΛΗ</t>
  </si>
  <si>
    <t>ΠΕΝΤΑΛΟΦΟΥ 12</t>
  </si>
  <si>
    <t>2ο ΝΗΠΙΑΓΩΓΕΙΟ ΟΡΕΣΤΙΑΔΑΣ</t>
  </si>
  <si>
    <t>mail@2nip-orest.evr.sch.gr</t>
  </si>
  <si>
    <t>ΑΘΑΝΑΣΙΟΥ ΠΑΝΤΑΖΙΔΗ 89</t>
  </si>
  <si>
    <t>9ο ΝΗΠΙΑΓΩΓΕΙΟ ΑΛΕΞΑΝΔΡΟΥΠΟΛΗΣ</t>
  </si>
  <si>
    <t>mail@9nip-alexandr.evr.sch.gr</t>
  </si>
  <si>
    <t>ΠΑΠΑΔΙΑΜΑΝΤΗ 29</t>
  </si>
  <si>
    <t>ΔΗΜΟΤΙΚΟ ΣΧΟΛΕΙΟ ΛΕΠΤΗΣ</t>
  </si>
  <si>
    <t>dimleptis@sch.gr</t>
  </si>
  <si>
    <t>Λεπτή Ορεστιάδας</t>
  </si>
  <si>
    <t>3ο ΝΗΠΙΑΓΩΓΕΙΟ ΔΙΔΥΜΟΤΕΙΧΟΥ</t>
  </si>
  <si>
    <t>mail@3nip-didym.evr.sch.gr</t>
  </si>
  <si>
    <t>ΔΙΔΥΜΟΤΕΙΧΟΥ</t>
  </si>
  <si>
    <t>ΔΙΔΥΜΟΤΕΙΧΟ</t>
  </si>
  <si>
    <t>ΔΙΟΙΚΗΤΗΡΙΟΥ 15</t>
  </si>
  <si>
    <t>4ο ΝΗΠΙΑΓΩΓΕΙΟ ΔΙΔΥΜΟΤΕΙΧΟΥ</t>
  </si>
  <si>
    <t>mail@4nip-didym.evr.sch.gr</t>
  </si>
  <si>
    <t>ΤΡΙΠΟΔΟΣ 10</t>
  </si>
  <si>
    <t>7ο ΝΗΠΙΑΓΩΓΕΙΟ ΑΛΕΞΑΝΔΡΟΥΠΟΛΗΣ</t>
  </si>
  <si>
    <t>mail@7nip-alexandr.evr.sch.gr</t>
  </si>
  <si>
    <t>ΕΛΛΗΣΠΟΝΤΟΥ 15</t>
  </si>
  <si>
    <t>5ο ΝΗΠΙΑΓΩΓΕΙΟ ΔΙΔΥΜΟΤΕΙΧΟΥ</t>
  </si>
  <si>
    <t>mail@5nip-didym.evr.sch.gr</t>
  </si>
  <si>
    <t>ΒΟΥΔΟΥΡΗ 1</t>
  </si>
  <si>
    <t>9ο ΔΗΜΟΤΙΚΟ ΣΧΟΛΕΙΟ ΑΛΕΞΑΝΔΡΟΥΠΟΛΗΣ - ΚΩΣΤΑΣ ΒΑΡΝΑΛΗΣ</t>
  </si>
  <si>
    <t>mail@9dim-alexandr.evr.sch.gr</t>
  </si>
  <si>
    <t>ΡΟΔΟΥ 36</t>
  </si>
  <si>
    <t>10ο ΝΗΠΙΑΓΩΓΕΙΟ ΟΡΕΣΤΙΑΔΑΣ</t>
  </si>
  <si>
    <t>mail@10nip-orest.evr.sch.gr</t>
  </si>
  <si>
    <t>ΡΑΙΔΕΣΤΟΥ 30</t>
  </si>
  <si>
    <t>18ο ΝΗΠΙΑΓΩΓΕΙΟ ΑΛΕΞΑΝΔΡΟΥΠΟΛΗΣ</t>
  </si>
  <si>
    <t>mail@18nip-alexandr.evr.sch.gr</t>
  </si>
  <si>
    <t>28ΗΣ ΟΚΤΩΒΡΙΟΥ - ΑΔΡΙΑΝΟΥΠΟΛΕΩΣ</t>
  </si>
  <si>
    <t>1ο ΔΗΜΟΤΙΚΟ ΣΧΟΛΕΙΟ Ν. ΟΡΕΣΤΙΑΔΑΣ - ΚΥΡΙΛΛΕΙΟ</t>
  </si>
  <si>
    <t>mail@1dim-orest.evr.sch.gr</t>
  </si>
  <si>
    <t>ΝΕΑ ΟΡΕΣΤΙΑΔΑ</t>
  </si>
  <si>
    <t>ΒΑΣΙΛΕΩΣ ΚΩΝΣΤΑΝΤΙΝΟΥ 115</t>
  </si>
  <si>
    <t>8ο ΝΗΠΙΑΓΩΓΕΙΟ ΑΛΕΞΑΝΔΡΟΥΠΟΛΗΣ</t>
  </si>
  <si>
    <t>mail@8nip-alexandr.evr.sch.gr</t>
  </si>
  <si>
    <t>ΦΥΛΗΣ 56</t>
  </si>
  <si>
    <t>ΔΗΜΟΤΙΚΟ ΣΧΟΛΕΙΟ ΠΥΡΓΟΥ</t>
  </si>
  <si>
    <t>mail@dim-pyrgou.evr.sch.gr</t>
  </si>
  <si>
    <t>ΠΥΡΓΟΣ</t>
  </si>
  <si>
    <t>ΠΥΡΓΟΣ Τ.Θ. 230 -</t>
  </si>
  <si>
    <t>ΔΗΜΟΤΙΚΟ ΣΧΟΛΕΙΟ ΠΑΛΑΓΙΑΣ</t>
  </si>
  <si>
    <t>mail@dim-palagias.evr.sch.gr</t>
  </si>
  <si>
    <t>ΠΑΛΑΓΙΑ</t>
  </si>
  <si>
    <t>19ΗΣ ΜΑΙΟΥ ΚΑΙ ΣΤΡΑΒΩΝΟΣ Τ.Θ. 2109</t>
  </si>
  <si>
    <t>1ο ΝΗΠΙΑΓΩΓΕΙΟ ΟΡΕΣΤΙΑΔΑΣ</t>
  </si>
  <si>
    <t>mail@1nip-orest.evr.sch.gr</t>
  </si>
  <si>
    <t>ΒΑΣ.ΚΩΝ/ΝΟΥ 115</t>
  </si>
  <si>
    <t>ΔΗΜΟΤΙΚΟ ΣΧΟΛΕΙΟ ΝΕΑΣ ΒΥΣΣΑΣ-ΚΑΡΑΘΕΟΔΩΡΕΙΟ</t>
  </si>
  <si>
    <t>mail@1dim-n-vyssas.evr.sch.gr</t>
  </si>
  <si>
    <t>ΝΕΑ ΒΥΣΣΑ</t>
  </si>
  <si>
    <t>3ο ΔΗΜΟΤΙΚΟ ΣΧΟΛΕΙΟ ΑΛΕΞΑΝΔΡΟΥΠΟΛΗΣ -''ΑΓΓΕΛΟΣ ΠΟΙΜΕΝΙΔΗΣ"</t>
  </si>
  <si>
    <t>mail@3dim-alexandr.evr.sch.gr</t>
  </si>
  <si>
    <t>Κ. ΠΑΛΑΙΟΛΟΓΟΥ 2</t>
  </si>
  <si>
    <t>1ο ΝΗΠΙΑΓΩΓΕΙΟ ΣΟΥΦΛΙΟΥ</t>
  </si>
  <si>
    <t>mail@1nip-soufl.evr.sch.gr</t>
  </si>
  <si>
    <t>ΣΟΥΦΛΙΟΥ</t>
  </si>
  <si>
    <t>Σουφλίου</t>
  </si>
  <si>
    <t>Αγίου Γεωργίου 11</t>
  </si>
  <si>
    <t>3ο ΔΗΜΟΤΙΚΟ ΣΧΟΛΕΙΟ ΟΡΕΣΤΙΑΔΑΣ</t>
  </si>
  <si>
    <t>mail@3dim-orest.evr.sch.gr</t>
  </si>
  <si>
    <t>3ο ΝΗΠΙΑΓΩΓΕΙΟ ΦΕΡΩΝ ΕΒΡΟΥ</t>
  </si>
  <si>
    <t>mail@3nip-ferron.evr.sch.gr</t>
  </si>
  <si>
    <t>ΦΕΡΩΝ</t>
  </si>
  <si>
    <t>ΧΑΡΙΛΑΟΥ ΤΡΙΚΟΥΠΗ 7</t>
  </si>
  <si>
    <t>2ο ΔΗΜΟΤΙΚΟ ΣΧΟΛΕΙΟ ΟΡΕΣΤΙΑΔΑΣ</t>
  </si>
  <si>
    <t>2dimorest@sch.gr</t>
  </si>
  <si>
    <t>Ορεστιάδα</t>
  </si>
  <si>
    <t>ΟΡΕΣΤΟΥ 7</t>
  </si>
  <si>
    <t>ΝΗΠΙΑΓΩΓΕΙΟ ΤΥΧΕΡΟΥ</t>
  </si>
  <si>
    <t>mail@nip-tycher.evr.sch.gr</t>
  </si>
  <si>
    <t>ΤΥΧΕΡΟ</t>
  </si>
  <si>
    <t>Ι. ΠΡΟΔΡΟΜΟΥ &amp; ΑΘ. ΔΙΑΚΟΥ</t>
  </si>
  <si>
    <t>7ο ΝΗΠΙΑΓΩΓΕΙΟ ΟΡΕΣΤΙΑΔΑΣ</t>
  </si>
  <si>
    <t>mail@7nip-orest.evr.sch.gr</t>
  </si>
  <si>
    <t>ΠΑΛΑΙΟΛΟΓΟΥ 20</t>
  </si>
  <si>
    <t>4ο ΔΗΜΟΤΙΚΟ ΣΧΟΛΕΙΟ ΟΡΕΣΤΙΑΔΑΣ</t>
  </si>
  <si>
    <t>4dimorest@sch.gr</t>
  </si>
  <si>
    <t>Αναγεννήσεως 227</t>
  </si>
  <si>
    <t>4ο ΔΗΜΟΤΙΚΟ ΣΧΟΛΕΙΟ ΔΙΔΥΜΟΤΕΙΧΟΥ</t>
  </si>
  <si>
    <t>mail@4dim-didym.evr.sch.gr</t>
  </si>
  <si>
    <t>ΠΟΛΥΤΕΧΝΕΙΟΥ 4</t>
  </si>
  <si>
    <t>1ο ΔΗΜΟΤΙΚΟ ΣΧΟΛΕΙΟ ΔΙΔΥΜΟΤΕΙΧΟΥ</t>
  </si>
  <si>
    <t>mail@1dim-didym.evr.sch.gr</t>
  </si>
  <si>
    <t>ΜΙΑΟΥΛΗ 4</t>
  </si>
  <si>
    <t>3ο ΔΗΜΟΤΙΚΟ ΣΧΟΛΕΙΟ ΔΙΔΥΜΟΤΕΙΧΟΥ</t>
  </si>
  <si>
    <t>mail@3dim-didym.evr.sch.gr</t>
  </si>
  <si>
    <t>ΔΙΟΙΚΗΤΗΡΙΟΥ 17</t>
  </si>
  <si>
    <t>8ο ΝΗΠΙΑΓΩΓΕΙΟ ΟΡΕΣΤΙΑΔΑΣ</t>
  </si>
  <si>
    <t>mail@8nip-orest.evr.sch.gr</t>
  </si>
  <si>
    <t>ΚΟΣΜΑ ΑΙΤΩΛΟΥ 9</t>
  </si>
  <si>
    <t>6ο ΔΗΜΟΤΙΚΟ ΣΧΟΛΕΙΟ ΟΡΕΣΤΙΑΔΑΣ - ΕΥΓΕΝΙΔΕΙΟ</t>
  </si>
  <si>
    <t>mail@6dim-orest.evr.sch.gr</t>
  </si>
  <si>
    <t>ΜΑΥΡΟΜΙΧΑΛΗ 4</t>
  </si>
  <si>
    <t>ΝΗΠΙΑΓΩΓΕΙΟ ΛΑΒΑΡΩΝ</t>
  </si>
  <si>
    <t>mail@nip-lavar.evr.sch.gr</t>
  </si>
  <si>
    <t>ΛΑΒΑΡΩΝ</t>
  </si>
  <si>
    <t>ΑΡΙΣΤΟΤΕΛΟΥΣ 61</t>
  </si>
  <si>
    <t>ΔΗΜΟΤΙΚΟ ΣΧΟΛΕΙΟ ΛΑΒΑΡΩΝ</t>
  </si>
  <si>
    <t>mail@dim-lavar.evr.sch.gr</t>
  </si>
  <si>
    <t>ΛΑΒΑΡΑ</t>
  </si>
  <si>
    <t>5ο ΔΗΜΟΤΙΚΟ ΣΧΟΛΕΙΟ ΑΛΕΞΑΝΔΡΟΥΠΟΛΗΣ</t>
  </si>
  <si>
    <t>mail@5dim-alexandr.evr.sch.gr</t>
  </si>
  <si>
    <t>ΑΝΔΡΟΝΙΚΟΥ ΚΑΙ ΠΑΠΑΝΟΥΤΣΟΥ</t>
  </si>
  <si>
    <t>2ο ΔΗΜΟΤΙΚΟ ΣΧΟΛΕΙΟ ΔΙΔΥΜΟΤΕΙΧΟΥ</t>
  </si>
  <si>
    <t>mail@2dim-didym.evr.sch.gr</t>
  </si>
  <si>
    <t xml:space="preserve"> ΔΙΔΥΜΟΤΕΙΧΟ</t>
  </si>
  <si>
    <t>ΚΩΛΕΤΤΗ ΤΕΡΜΑ</t>
  </si>
  <si>
    <t>6ο ΝΗΠΙΑΓΩΓΕΙΟ ΑΛΕΞΑΝΔΡΟΥΠΟΛΗΣ</t>
  </si>
  <si>
    <t>mail@6nip-alexandr.evr.sch.gr</t>
  </si>
  <si>
    <t>ΤΡΑΠΕΖΟΥΝΤΟΣ 49</t>
  </si>
  <si>
    <t>Δημοτικό Σχολείο Μειονοτικής Εκπαίδευσης</t>
  </si>
  <si>
    <t>ΜΕΙΟΝΟΤΙΚΟ ΔΗΜΟΤΙΚΟ ΣΧΟΛΕΙΟ ΑΛΕΞΑΝΔΡΟΥΠΟΛΗΣ</t>
  </si>
  <si>
    <t>mail@dim-meion-alexandr.evr.sch.gr</t>
  </si>
  <si>
    <t>ΚΑΣΑΝΔΡΑΣ 1</t>
  </si>
  <si>
    <t>5ο ΝΗΠΙΑΓΩΓΕΙΟ ΑΛΕΞΑΝΔΡΟΥΠΟΛΗΣ</t>
  </si>
  <si>
    <t>mail@5nip-alexandr.evr.sch.gr</t>
  </si>
  <si>
    <t>ΔΙΓΕΝΗ 2Α</t>
  </si>
  <si>
    <t>ΔΗΜΟΤΙΚΟ ΣΧΟΛΕΙΟ ΝΕΑΣ ΧΗΛΗΣ</t>
  </si>
  <si>
    <t>mail@dim-n-chilis.evr.sch.gr</t>
  </si>
  <si>
    <t>ΝΕΑ ΧΗΛΗ</t>
  </si>
  <si>
    <t>ΚΑΝΑΡΗ 12 ΝΕΑ ΧΗΛΗ ΑΛΕΞΑΝΔΡΟΥΠΟΛΗΣ</t>
  </si>
  <si>
    <t>ΝΗΠΙΑΓΩΓΕΙΟ ΝΕΑΣ ΧΗΛΗΣ</t>
  </si>
  <si>
    <t>mail@nip-chilis.evr.sch.gr</t>
  </si>
  <si>
    <t>ΝΕΑΣ ΧΗΛΗΣ</t>
  </si>
  <si>
    <t>ΔΗΜΟΚΡΑΤΙΑΣ 43</t>
  </si>
  <si>
    <t>ΝΗΠΙΑΓΩΓΕΙΟ ΑΠΑΛΟΥ</t>
  </si>
  <si>
    <t>mail@nip-apalou.evr.sch.gr</t>
  </si>
  <si>
    <t>ΑΠΑΛΟΥ</t>
  </si>
  <si>
    <t>ΑΠΑΛΟΣ ΑΛΕΞΑΝΔΡΟΥΠΟΛΗΣ</t>
  </si>
  <si>
    <t>ΝΗΠΙΑΓΩΓΕΙΟ ΜΑΪΣΤΡΟΥ</t>
  </si>
  <si>
    <t>mail@nip-maistr.evr.sch.gr</t>
  </si>
  <si>
    <t>ΜΑΪΣΤΡΟΥ</t>
  </si>
  <si>
    <t>2ο ΝΗΠΙΑΓΩΓΕΙΟ ΑΛΕΞΑΝΔΡΟΥΠΟΛΗΣ</t>
  </si>
  <si>
    <t>mail@2nip-alexandr.evr.sch.gr</t>
  </si>
  <si>
    <t>ΚΩΝΣΤΑΝΤΙΝΟΥΠΟΛΕΩΣ 51</t>
  </si>
  <si>
    <t>ΝΗΠΙΑΓΩΓΕΙΟ ΚΑΜΑΡΙΩΤΙΣΣΑΣ</t>
  </si>
  <si>
    <t>mail@nip-kamar.evr.sch.gr</t>
  </si>
  <si>
    <t>ΣΑΜΟΘΡΑΚΗΣ</t>
  </si>
  <si>
    <t>ΚΑΜΑΡΙΩΤΙΣΣΑ</t>
  </si>
  <si>
    <t>ΚΑΜΑΡΙΩΤΙΣΣΑ ΣΑΜΟΘΡΑΚΗΣ</t>
  </si>
  <si>
    <t>19ο ΝΗΠΙΑΓΩΓΕΙΟ ΑΛΕΞΑΝΔΡΟΥΠΟΛΗΣ</t>
  </si>
  <si>
    <t>mail@19nip-alexandr.evr.sch.gr</t>
  </si>
  <si>
    <t>ΠΑΡΟΔΟΣ ΔΕΡΚΩΝ 1</t>
  </si>
  <si>
    <t>ΔΗΜΟΤΙΚΟ ΣΧΟΛΕΙΟ ΚΑΜΑΡΙΩΤΙΣΣΑΣ</t>
  </si>
  <si>
    <t>mail@dim-kamar.evr.sch.gr</t>
  </si>
  <si>
    <t>ΣΑΜΟΘΡΑΚΗ</t>
  </si>
  <si>
    <t>1ο ΝΗΠΙΑΓΩΓΕΙΟ ΦΕΡΩΝ</t>
  </si>
  <si>
    <t>mail@1nip-ferron.evr.sch.gr</t>
  </si>
  <si>
    <t>ΒΙΖΒΙΖΗ 8</t>
  </si>
  <si>
    <t>ΔΗΜΟΤΙΚΟ ΣΧΟΛΕΙΟ ΤΥΧΕΡΟΥ</t>
  </si>
  <si>
    <t>mail@dim-tycher.evr.sch.gr</t>
  </si>
  <si>
    <t>ΝΙΚΗΣ 45</t>
  </si>
  <si>
    <t>2ο ΔΗΜΟΤΙΚΟ ΣΧΟΛΕΙΟ ΦΕΡΩΝ</t>
  </si>
  <si>
    <t>mail@2dim-feron.evr.sch.gr</t>
  </si>
  <si>
    <t>ΦΕΡΕΣ</t>
  </si>
  <si>
    <t>ΕΒΡΟΥ 11</t>
  </si>
  <si>
    <t>6ο ΔΗΜΟΤΙΚΟ ΣΧΟΛΕΙΟ ΑΛΕΞΑΝΔΡΟΥΠΟΛΗΣ</t>
  </si>
  <si>
    <t>6dimalex@sch.gr</t>
  </si>
  <si>
    <t>10ο ΔΗΜΟΤΙΚΟ ΣΧΟΛΕΙΟ ΑΛΕΞΑΝΔΡΟΥΠΟΛΗΣ</t>
  </si>
  <si>
    <t>mail@10dim-alexandr.evr.sch.gr</t>
  </si>
  <si>
    <t>ΙΚΤΙΝΟΥ 12</t>
  </si>
  <si>
    <t>12ο ΔΗΜΟΤΙΚΟ ΣΧΟΛΕΙΟ ΑΛΕΞΑΝΔΡΟΥΠΟΛΗΣ</t>
  </si>
  <si>
    <t>mail@12dim-alexandr.evr.sch.gr</t>
  </si>
  <si>
    <t>ΠΑΠΑΔΙΑΜΑΝΤΗ Κ ΑΛΚΙΒΙΑΔΗ</t>
  </si>
  <si>
    <t>8ο ΔΗΜΟΤΙΚΟ ΣΧΟΛΕΙΟ ΟΡΕΣΤΙΑΔΑΣ</t>
  </si>
  <si>
    <t>mail@8dim-orest.evr.sch.gr</t>
  </si>
  <si>
    <t>Ρ. ΦΕΡΑΙΟΥ 4</t>
  </si>
  <si>
    <t>1ο ΔΗΜΟΤΙΚΟ ΣΧΟΛΕΙΟ ΣΟΥΦΛΙΟΥ</t>
  </si>
  <si>
    <t>mail@1dim-soufl.evr.sch.gr</t>
  </si>
  <si>
    <t>ΣΟΥΦΛΙ</t>
  </si>
  <si>
    <t>ΚΙΚΟΝΩΝ 15</t>
  </si>
  <si>
    <t>2ο ΔΗΜΟΤΙΚΟ ΣΧΟΛΕΙΟ ΣΟΥΦΛΙΟΥ</t>
  </si>
  <si>
    <t>mail@2dim-soufl.evr.sch.gr</t>
  </si>
  <si>
    <t>ΓΡΗΓΟΡΙΟΥ Ε 2</t>
  </si>
  <si>
    <t>ΔΗΜΟΤΙΚΟ ΣΧΟΛΕΙΟ ΑΝΘΕΙΑΣ</t>
  </si>
  <si>
    <t>mail@dim-antheias.evr.sch.gr</t>
  </si>
  <si>
    <t>ΑΝΘΕΙΑ</t>
  </si>
  <si>
    <t>ΑΝΘΕΙΑ ΤΘ 1817</t>
  </si>
  <si>
    <t>ΔΗΜΟΤΙΚΟ ΣΧΟΛΕΙΟ ΑΠΑΛΟΥ</t>
  </si>
  <si>
    <t>mail@dim-apalou.evr.sch.gr</t>
  </si>
  <si>
    <t>ΑΠΑΛΟΣ</t>
  </si>
  <si>
    <t>1ο ΔΗΜΟΤΙΚΟ ΣΧΟΛΕΙΟ ΦΕΡΩΝ</t>
  </si>
  <si>
    <t>mail@1dim-feron.evr.sch.gr</t>
  </si>
  <si>
    <t>ΑΙΣΩΠΟΥ 1</t>
  </si>
  <si>
    <t>3ο ΔΗΜΟΤΙΚΟ ΣΧΟΛΕΙΟ ΦΕΡΩΝ</t>
  </si>
  <si>
    <t>mail@3dim-feron.evr.sch.gr</t>
  </si>
  <si>
    <t>ΠΟΛΥΤΕΧΝΕΙΟΥ 12</t>
  </si>
  <si>
    <t>9ο ΝΗΠΙΑΓΩΓΕΙΟ ΟΡΕΣΤΙΑΔΑΣ</t>
  </si>
  <si>
    <t>mail@9nip-orest.evr.sch.gr</t>
  </si>
  <si>
    <t>ΡΗΓΑ ΦΕΡΑΙΟΥ 2</t>
  </si>
  <si>
    <t>1ο ΔΗΜΟΤΙΚΟ ΣΧΟΛΕΙΟ ΑΛΕΞΑΝΔΡΟΥΠΟΛΗΣ</t>
  </si>
  <si>
    <t>mail@1dim-alexandr.evr.sch.gr</t>
  </si>
  <si>
    <t>28ΗΣ ΟΚΤΩΒΡΙΟΥ 25</t>
  </si>
  <si>
    <t>7ο ΔΗΜΟΤΙΚΟ ΣΧΟΛΕΙΟ ΑΛΕΞΑΝΔΡΟΥΠΟΛΗΣ - ΙΩΑΝΝΗΣ ΜΗΤΡΑΚΑΣ</t>
  </si>
  <si>
    <t>mail@7dim-alexandr.evr.sch.gr</t>
  </si>
  <si>
    <t>ΔΗΜΗΤΡΑΣ 57</t>
  </si>
  <si>
    <t>8ο ΔΗΜΟΤΙΚΟ ΣΧΟΛΕΙΟ ΑΛΕΞΑΝΔΡΟΥΠΟΛΗΣ</t>
  </si>
  <si>
    <t>mail@8dim-alexandr.evr.sch.gr</t>
  </si>
  <si>
    <t>Αλεξανδρούπολη</t>
  </si>
  <si>
    <t>ΑΝΔΡΙΑΝΟΥΠΟΛΕΩΣ 59</t>
  </si>
  <si>
    <t>11ο ΔΗΜΟΤΙΚΟ ΣΧΟΛΕΙΟ ΑΛΕΞΑΝΔΡΟΥΠΟΛΗΣ</t>
  </si>
  <si>
    <t>mail@11dim-alexandr.evr.sch.gr</t>
  </si>
  <si>
    <t>ΠΟΙΜΕΝΙΔΗ ΚΑΙ ΜΥΡΙΒΗΛΗ (γωνία)</t>
  </si>
  <si>
    <t>Ολοήμερο Δημοτικό Σχολείο Μειονοτικής Εκπαίδευσης</t>
  </si>
  <si>
    <t>ΜΕΙΟΝΟΤΙΚΟ ΔΗΜΟΤΙΚΟ ΣΧΟΛΕΙΟ ΣΙΔΗΡΟΥΣ</t>
  </si>
  <si>
    <t>mail@dim-meion-sidirous.evr.sch.gr</t>
  </si>
  <si>
    <t>ΣΙΔΗΡΟΥΣ</t>
  </si>
  <si>
    <t>ΣΙΔΗΡΩ</t>
  </si>
  <si>
    <t>4ο ΝΗΠΙΑΓΩΓΕΙΟ ΟΡΕΣΤΙΑΔΑΣ</t>
  </si>
  <si>
    <t>mail@4nip-orest.evr.sch.gr</t>
  </si>
  <si>
    <t>ΑΔΡΙΑΝΟΥΠΟΛΕΩΣ 248Α</t>
  </si>
  <si>
    <t>5ο ΔΗΜΟΤΙΚΟ ΣΧΟΛΕΙΟ ΔΙΔΥΜΟΤΕΙΧΟΥ</t>
  </si>
  <si>
    <t>mail@5dim-didym.evr.sch.gr</t>
  </si>
  <si>
    <t>ΕΥΓΕΝΙΟΥ ΕΥΓΕΝΙΔΗ 137</t>
  </si>
  <si>
    <t>11ο ΝΗΠΙΑΓΩΓΕΙΟ ΟΡΕΣΤΙΑΔΑΣ</t>
  </si>
  <si>
    <t>mail@11nip-orest.evr.sch.gr</t>
  </si>
  <si>
    <t>Μάρκου Μπότσαρη 1</t>
  </si>
  <si>
    <t>Ολοήμερο Πειραματικό Δημοτικό Σχολείο ενταγμένο στο Πανεπιστήμιο</t>
  </si>
  <si>
    <t>1ο ΠΕΙΡΑΜΑΤΙΚΟ ΔΗΜΟΤΙΚΟ ΣΧΟΛΕΙΟ ΑΛΕΞΑΝΔΡΟΥΠΟΛΗΣ (ΕΝΤΑΓΜΕΝΟ ΣΤΟ ΠΑΝΕΠΙΣΤΗΜΙΟ)</t>
  </si>
  <si>
    <t>mail@dim-peir-alexandr.evr.sch.gr</t>
  </si>
  <si>
    <t>ΓΕΩΡΓΙΟΥ ΖΑΡΙΦΗ 5</t>
  </si>
  <si>
    <t>23ο ΝΗΠΙΑΓΩΓΕΙΟ ΑΛΕΞΑΝΔΡΟΥΠΟΛΗΣ</t>
  </si>
  <si>
    <t>mail@23nip-alexandr.evr.sch.gr</t>
  </si>
  <si>
    <t>ΠΟΙΜΕΝΙΔΗ 15</t>
  </si>
  <si>
    <t>24ο ΝΗΠΙΑΓΩΓΕΙΟ ΑΛΕΞΑΝΔΡΟΥΠΟΛΗΣ</t>
  </si>
  <si>
    <t>mail@24nip-alexandr.evr.sch.gr</t>
  </si>
  <si>
    <t>ΤΕΡΜΑ ΑΒΑΝΤΟΣ</t>
  </si>
  <si>
    <t>2ο ΔΗΜΟΤΙΚΟ ΣΧΟΛΕΙΟ ΑΛΕΞΑΝΔΡΟΥΠΟΛΗΣ</t>
  </si>
  <si>
    <t>mail@2dim-alexandr.evr.sch.gr</t>
  </si>
  <si>
    <t>ΚΑΠΟΔΙΣΤΡΙΟΥ 26</t>
  </si>
  <si>
    <t>Π.Ε. ΚΑΒΑΛΑΣ</t>
  </si>
  <si>
    <t>16ο  ΝΗΠΙΑΓΩΓΕΙΟ ΚΑΒΑΛΑΣ</t>
  </si>
  <si>
    <t>mail@16nip-kaval.kav.sch.gr</t>
  </si>
  <si>
    <t>ΚΑΒΑΛΑΣ</t>
  </si>
  <si>
    <t>ΦΙΛΑΔΕΛΦΕΙΑΣ  13</t>
  </si>
  <si>
    <t>1ο  ΝΗΠΙΑΓΩΓΕΙΟ ΑΜΥΓΔΑΛΕΩΝΑ</t>
  </si>
  <si>
    <t>mail@nip-amygd.kav.sch.gr</t>
  </si>
  <si>
    <t>ΑΜΥΓΔΑΛΕΩΝΑ</t>
  </si>
  <si>
    <t>ΑΜΥΓΔΑΛΕΩΝΑΣ</t>
  </si>
  <si>
    <t>10ο ΝΗΠΙΑΓΩΓΕΙΟ ΚΑΒΑΛΑΣ</t>
  </si>
  <si>
    <t>mail@10nip-kaval.kav.sch.gr</t>
  </si>
  <si>
    <t>ΡΩΜΑΝΟΥ 17</t>
  </si>
  <si>
    <t>25ο ΝΗΠΙΑΓΩΓΕΙΟ ΚΑΒΑΛΑΣ</t>
  </si>
  <si>
    <t>mail@25nip-kaval.kav.sch.gr</t>
  </si>
  <si>
    <t>ΥΨΗΛΑΝΤΟΥ 9</t>
  </si>
  <si>
    <t>18ο  ΝΗΠΙΑΓΩΓΕΙΟ ΚΑΒΑΛΑΣ</t>
  </si>
  <si>
    <t>mail@18nip-kaval.kav.sch.gr</t>
  </si>
  <si>
    <t>ΦΡΥΓΙΑΣ  28</t>
  </si>
  <si>
    <t>11ο ΝΗΠΙΑΓΩΓΕΙΟ ΚΑΒΑΛΑΣ</t>
  </si>
  <si>
    <t>mail@11nip-kaval.kav.sch.gr</t>
  </si>
  <si>
    <t>ΘΕΤΙΔΟΣ 2</t>
  </si>
  <si>
    <t>9ο ΝΗΠΙΑΓΩΓΕΙΟ ΚΑΒΑΛΑΣ</t>
  </si>
  <si>
    <t>mail@9nip-kaval.kav.sch.gr</t>
  </si>
  <si>
    <t>ΑΓΙΟΥ ΤΡΥΦΩΝΟΣ 2</t>
  </si>
  <si>
    <t>15ο ΝΗΠΙΑΓΩΓΕΙΟ ΚΑΒΑΛΑΣ</t>
  </si>
  <si>
    <t>mail@15nip-kaval.kav.sch.gr</t>
  </si>
  <si>
    <t>ΟΜΟΝΟΙΑΣ 97</t>
  </si>
  <si>
    <t>11ο ΔΗΜΟΤΙΚΟ ΣΧΟΛΕΙΟ ΚΑΒΑΛΑΣ</t>
  </si>
  <si>
    <t>mail@11dim-kaval.kav.sch.gr</t>
  </si>
  <si>
    <t>ΚΑΒΑΛΑ</t>
  </si>
  <si>
    <t>ΜΟΣΧΟΠΟΥΛΙΔΟΥ 2</t>
  </si>
  <si>
    <t>ΔΗΜΟΤΙΚΟ ΣΧΟΛΕΙΟ ΝΙΚΗΣΙΑΝΗΣ</t>
  </si>
  <si>
    <t>mail@dim-nikis.kav.sch.gr</t>
  </si>
  <si>
    <t>ΠΑΓΓΑΙΟΥ</t>
  </si>
  <si>
    <t>ΝΙΚΗΣΙΑΝΗΣ</t>
  </si>
  <si>
    <t>ΝΙΚΗΣΙΑΝΗ ΔΗΜΟΥ ΠΑΓΓΑΙΟΥ</t>
  </si>
  <si>
    <t>1ο ΔΗΜΟΤΙΚΟ ΣΧΟΛΕΙΟ ΧΡΥΣΟΥΠΟΛΗΣ</t>
  </si>
  <si>
    <t>mail@1dim-chrys.kav.sch.gr</t>
  </si>
  <si>
    <t>ΝΕΣΤΟΥ</t>
  </si>
  <si>
    <t>Χρυσούπολη</t>
  </si>
  <si>
    <t>Κύπρου και Υψηλάντη</t>
  </si>
  <si>
    <t>24ο ΝΗΠΙΑΓΩΓΕΙΟ ΚΑΒΑΛΑΣ</t>
  </si>
  <si>
    <t>mail@24nip-kaval.kav.sch.gr</t>
  </si>
  <si>
    <t>ΑΓΙΑΣ ΣΟΦΙΑΣ 2</t>
  </si>
  <si>
    <t>22ο ΔΗΜΟΤΙΚΟ ΣΧΟΛΕΙΟ ΚΑΒΑΛΑΣ</t>
  </si>
  <si>
    <t>mail@22dim-kaval.kav.sch.gr</t>
  </si>
  <si>
    <t>ΔΗΜΟΣΘΕΝΟΥΣ 19</t>
  </si>
  <si>
    <t>ΔΗΜΟΤΙΚΟ ΣΧΟΛΕΙΟ ΘΕΟΛΟΓΟΥ-ΠΟΤΟΥ</t>
  </si>
  <si>
    <t>mail@dim-theol.kav.sch.gr</t>
  </si>
  <si>
    <t>ΘΑΣΟΥ</t>
  </si>
  <si>
    <t>ΘΕΟΛΟΓΟΥ-ΠΟΤΟΥ</t>
  </si>
  <si>
    <t>ΘΕΟΛΟΓΟΣ</t>
  </si>
  <si>
    <t>ΔΗΜΟΤΙΚΟ ΣΧΟΛΕΙΟ ΜΕΛΙΣΣΟΚΟΜΕΙΟΥ</t>
  </si>
  <si>
    <t>mail@dim-meliss.kav.sch.gr</t>
  </si>
  <si>
    <t>ΜΕΛΙΣΣΟΚΟΜΕΙΟ- ΚΑΒΑΛΑΣ</t>
  </si>
  <si>
    <t>ΜΕΛΙΣΣΟΚΟΜΕΙΟ</t>
  </si>
  <si>
    <t>12ο ΝΗΠΙΑΓΩΓΕΙΟ ΚΑΒΑΛΑΣ</t>
  </si>
  <si>
    <t>mail@12nip-kaval.kav.sch.gr</t>
  </si>
  <si>
    <t>ΒΕΝΙΖΕΛΟΥ 44</t>
  </si>
  <si>
    <t>2ο ΔΗΜΟΤΙΚΟ ΣΧΟΛΕΙΟ ΚΡΗΝΙΔΩΝ</t>
  </si>
  <si>
    <t>mail@2dim-krinid.kav.sch.gr</t>
  </si>
  <si>
    <t>ΚΡΗΝΙΔΕΣ</t>
  </si>
  <si>
    <t>Ι.ΜΕΤΑΞΑ  18</t>
  </si>
  <si>
    <t>ΝΗΠΙΑΓΩΓΕΙΟ  ΚΡΥΟΝΕΡΙΟΥ</t>
  </si>
  <si>
    <t>mail@nip-zygou.kav.sch.gr</t>
  </si>
  <si>
    <t>ΚΡΥΟΝΕΡΙ</t>
  </si>
  <si>
    <t>3ο ΝΗΠΙΑΓΩΓΕΙΟ ΧΡΥΣΟΥΠΟΛΗΣ</t>
  </si>
  <si>
    <t>mail@3nip-chrys.kav.sch.gr</t>
  </si>
  <si>
    <t>ΧΡΥΣΟΥΠΟΛΗΣ</t>
  </si>
  <si>
    <t>ΠΡΕΜΕΤΗΣ 1</t>
  </si>
  <si>
    <t>2ο  ΝΗΠΙΑΓΩΓΕΙΟ ΧΡΥΣΟΥΠΟΛΗΣ</t>
  </si>
  <si>
    <t>mail@2nip-chrys.kav.sch.gr</t>
  </si>
  <si>
    <t>Ε ΒΕΝΙΖΕΛΟΥ 113</t>
  </si>
  <si>
    <t>ΝΗΠΙΑΓΩΓΕΙΟ ΝΕΑΣ ΚΑΡΥΑΣ</t>
  </si>
  <si>
    <t>mail@nip-n-karyas.kav.sch.gr</t>
  </si>
  <si>
    <t>ΝΕΑΣ ΚΑΡΥΑΣ</t>
  </si>
  <si>
    <t>ΝΕΑ ΚΑΡΥΑ</t>
  </si>
  <si>
    <t>1ο  ΝΗΠΙΑΓΩΓΕΙΟ ΕΛΕΥΘΕΡΟΥΠΟΛΗΣ</t>
  </si>
  <si>
    <t>mail@1nip-elefth.kav.sch.gr</t>
  </si>
  <si>
    <t>ΕΛΕΥΘΕΡΟΥΠΟΛΗΣ</t>
  </si>
  <si>
    <t>ΔΗΜΟΥ ΔΗΜΑΔΗ 18</t>
  </si>
  <si>
    <t>ΔΗΜΟΤΙΚΟ ΣΧΟΛΕΙΟ ΝΕΑΣ ΚΑΡΥΑΣ</t>
  </si>
  <si>
    <t>mail@dim-n-karyas.kav.sch.gr</t>
  </si>
  <si>
    <t>Νέα Καρυά</t>
  </si>
  <si>
    <t>5ο ΝΗΠΙΑΓΩΓΕΙΟ ΚΑΒΑΛΑΣ</t>
  </si>
  <si>
    <t>mail@5nip-kaval.kav.sch.gr</t>
  </si>
  <si>
    <t>ΚΑΡΑΪΣΚΑΚΗ  6</t>
  </si>
  <si>
    <t>1ο ΝΗΠΙΑΓΩΓΕΙΟ ΚΡΗΝΙΔΩΝ</t>
  </si>
  <si>
    <t>mail@1nip-krinid.kav.sch.gr</t>
  </si>
  <si>
    <t>ΚΡΗΝΙΔΩΝ</t>
  </si>
  <si>
    <t>ΙΩΑΝΝΗ ΜΕΤΑΞΑ  18</t>
  </si>
  <si>
    <t>16ο ΔΗΜΟΤΙΚΟ ΣΧΟΛΕΙΟ ΚΑΒΑΛΑΣ</t>
  </si>
  <si>
    <t>mail@16dim-kaval.kav.sch.gr</t>
  </si>
  <si>
    <t>ΦΙΛΑΔΕΛΦΕΙΑΣ 13</t>
  </si>
  <si>
    <t>ΝΗΠΙΑΓΩΓΕΙΟ ΕΛΑΙΟΧΩΡΙΟΥ ΚΑΒΑΛΑΣ</t>
  </si>
  <si>
    <t>mail@nip-elaioch.kav.sch.gr</t>
  </si>
  <si>
    <t>Ελαιοχώριο - ΚΑΒΑΛΑΣ</t>
  </si>
  <si>
    <t>ΕΛΑΙΟΧΩΡΙ</t>
  </si>
  <si>
    <t>1ο ΔΗΜΟΤΙΚΟ ΣΧΟΛΕΙΟ ΕΛΕΥΘΕΡΟΥΠΟΛΗΣ</t>
  </si>
  <si>
    <t>mail@1dim-elefth.kav.sch.gr</t>
  </si>
  <si>
    <t>ΕΛΕΥΘΕΡΟΥΠΟΛΗ</t>
  </si>
  <si>
    <t>ΑΓΙΟΥ ΝΙΚΟΛΑΟΥ 5</t>
  </si>
  <si>
    <t>1ο ΝΗΠΙΑΓΩΓΕΙΟ ΝΕΑΣ ΠΕΡΑΜΟΥ</t>
  </si>
  <si>
    <t>mail@1nip-n-peram.kav.sch.gr</t>
  </si>
  <si>
    <t>Ν. ΠΕΡΑΜΟΥ</t>
  </si>
  <si>
    <t>ΝΙΚΗΣ 30</t>
  </si>
  <si>
    <t>8ο ΔΗΜΟΤΙΚΟ ΣΧΟΛΕΙΟ ΚΑΒΑΛΑΣ</t>
  </si>
  <si>
    <t>mail@8dim-kaval.kav.sch.gr</t>
  </si>
  <si>
    <t>Ι.  ΜΕΞΗ 10</t>
  </si>
  <si>
    <t>2ο ΝΗΠΙΑΓΩΓΕΙΟ ΘΑΣΟΥ</t>
  </si>
  <si>
    <t>mail@2nip-thasou.kav.sch.gr</t>
  </si>
  <si>
    <t>ΘΑΣΟΣ</t>
  </si>
  <si>
    <t>4ο ΝΗΠΙΑΓΩΓΕΙΟ ΧΡΥΣΟΥΠΟΛΗΣ</t>
  </si>
  <si>
    <t>mail@4nip-chrys.kav.sch.gr</t>
  </si>
  <si>
    <t>ΠΟΝΤΙΑΔΟΣ 137</t>
  </si>
  <si>
    <t>12ο ΔΗΜΟΤΙΚΟ ΣΧΟΛΕΙΟ ΚΑΒΑΛΑΣ</t>
  </si>
  <si>
    <t>mail@12dim-kaval.kav.sch.gr</t>
  </si>
  <si>
    <t xml:space="preserve">ΚΑΒΑΛΑ </t>
  </si>
  <si>
    <t>ΔΗΜΟΤΙΚΟ ΣΧΟΛΕΙΟ ΑΜΥΓΔΑΛΕΩΝΑ "ΤΣΑΝΑΚΤΣΗΣ ΗΛΙΑΣ"</t>
  </si>
  <si>
    <t>mail@dim-amygd.kav.sch.gr</t>
  </si>
  <si>
    <t>Αμυγδαλεώνας</t>
  </si>
  <si>
    <t>ΑΓΙΟΥ ΓΕΩΡΓΙΟΥ</t>
  </si>
  <si>
    <t>ΔΗΜΟΤΙΚΟ ΣΧΟΛΕΙΟ ΚΕΡΑΜΩΤΗΣ</t>
  </si>
  <si>
    <t>mail@dim-keram.kav.sch.gr</t>
  </si>
  <si>
    <t>Κεραμωτή</t>
  </si>
  <si>
    <t>Κεραμωτή Καβάλας</t>
  </si>
  <si>
    <t>24ο ΔΗΜΟΤΙΚΟ ΣΧΟΛΕΙΟ ΚΑΒΑΛΑΣ</t>
  </si>
  <si>
    <t>mail@24dim-kaval.kav.sch.gr</t>
  </si>
  <si>
    <t>ΕΥΞΕΙΝΟΥ ΠΟΝΤΟΥ 7</t>
  </si>
  <si>
    <t>1ο ΔΗΜΟΤΙΚΟ ΣΧΟΛΕΙΟ ΚΡΗΝΙΔΩΝ</t>
  </si>
  <si>
    <t>mail@1dim-krinid.kav.sch.gr</t>
  </si>
  <si>
    <t>28ΗΣ ΟΚΤΩΒΡΙΟΥ 68</t>
  </si>
  <si>
    <t>ΝΗΠΙΑΓΩΓΕΙΟ ΠΟΔΟΧΩΡΙΟΥ</t>
  </si>
  <si>
    <t>mail@nip-podoch.kav.sch.gr</t>
  </si>
  <si>
    <t>ΠΟΔΟΧΩΡΙΟΥ</t>
  </si>
  <si>
    <t>ΠΟΔΟΧΩΡΙ</t>
  </si>
  <si>
    <t>2ο ΔΗΜΟΤΙΚΟ ΣΧΟΛΕΙΟ ΘΑΣΟΥ</t>
  </si>
  <si>
    <t>mail@2dim-thasou.kav.sch.gr</t>
  </si>
  <si>
    <t>5ο  ΝΗΠΙΑΓΩΓΕΙΟ ΧΡΥΣΟΥΠΟΛΗΣ</t>
  </si>
  <si>
    <t>mail@5nip-chrys.kav.sch.gr</t>
  </si>
  <si>
    <t>ΠΑΡ. ΕΓΝΑΤΙΑΣ 43 κ ΜΑΡΚ. ΜΠΟΤΣΑΡΗ</t>
  </si>
  <si>
    <t>10ο ΔΗΜΟΤΙΚΟ ΣΧΟΛΕΙΟ ΚΑΒΑΛΑΣ</t>
  </si>
  <si>
    <t>mail@10dim-kaval.kav.sch.gr</t>
  </si>
  <si>
    <t>ΕΛΕΥΘΕΡΙΟΥ ΒΕΝΙΖΕΛΟΥ 44</t>
  </si>
  <si>
    <t>ΔΗΜΟΤΙΚΟ ΣΧΟΛΕΙΟ ΕΛΑΙΟΧΩΡΙΟΥ ΚΑΒΑΛΑΣ</t>
  </si>
  <si>
    <t>mail@dim-elaioch.kav.sch.gr</t>
  </si>
  <si>
    <t>ΔΗΜΟΤΙΚΟ ΣΧΟΛΕΙΟ ΕΛΕΥΘΕΡΩΝ</t>
  </si>
  <si>
    <t>mail@dim-elefth.kav.sch.gr</t>
  </si>
  <si>
    <t>ΕΛΕΥΘΕΡΕΣ</t>
  </si>
  <si>
    <t>ΔΗΜΟΤΙΚΟ ΣΧΟΛΕΙΟ ΓΕΩΡΓΙΑΝΗΣ</t>
  </si>
  <si>
    <t>mail@2dim-paggaiou.kav.sch.gr</t>
  </si>
  <si>
    <t>ΓΕΩΡΓΙΑΝΗ</t>
  </si>
  <si>
    <t>Π.ΤΣΟΠΑΝΙΔΗ-ΓΕΩΡΓΙΑΝΗ 9</t>
  </si>
  <si>
    <t>ΔΗΜΟΤΙΚΟ ΣΧΟΛΕΙΟ ΚΟΚΚΙΝΟΧΩΜΑΤΟΣ</t>
  </si>
  <si>
    <t>mail@dim-kokkin.kav.sch.gr</t>
  </si>
  <si>
    <t>ΚΟΚΚΙΝΟΧΩΜΑ</t>
  </si>
  <si>
    <t>ΚΟΚΚΙΝΟΧΩΜΑ ΚΑΒΑΛΑΣ</t>
  </si>
  <si>
    <t>ΔΗΜΟΤΙΚΟ ΣΧΟΛΕΙΟ ΠΟΔΟΧΩΡΙΟΥ</t>
  </si>
  <si>
    <t>mail@dim-podoch.kav.sch.gr</t>
  </si>
  <si>
    <t>ΔΗΜΟΤΙΚΟ ΣΧΟΛΕΙΟ ΟΦΡΥΝΙΟΥ</t>
  </si>
  <si>
    <t>mail@dim-ofryn.kav.sch.gr</t>
  </si>
  <si>
    <t>ΟΦΡΥΝΙΟ</t>
  </si>
  <si>
    <t>ΟΦΡΥΝΙΟ ΜΟΥΣΘΕΝΗΣ</t>
  </si>
  <si>
    <t>4ο ΔΗΜΟΤΙΚΟ ΣΧΟΛΕΙΟ ΚΑΒΑΛΑΣ</t>
  </si>
  <si>
    <t>mail@4dim-kaval.kav.sch.gr</t>
  </si>
  <si>
    <t>ΦΑΙΔΡΑΣ 3</t>
  </si>
  <si>
    <t>1ο  ΝΗΠΙΑΓΩΓΕΙΟ ΘΑΣΟΥ</t>
  </si>
  <si>
    <t>mail@1nip-thasou.kav.sch.gr</t>
  </si>
  <si>
    <t>1ο ΝΗΠΙΑΓΩΓΕΙΟ ΛΙΜΕΝΑΡΙΩΝ</t>
  </si>
  <si>
    <t>mail@1nip-limen.kav.sch.gr</t>
  </si>
  <si>
    <t>ΛΙΜΕΝΑΡΙΩΝ</t>
  </si>
  <si>
    <t>ΛΙΜΕΝΑΡΙΑ</t>
  </si>
  <si>
    <t>2ο ΔΗΜΟΤΙΚΟ ΣΧΟΛΕΙΟ ΕΛΕΥΘΕΡΟΥΠΟΛΗΣ</t>
  </si>
  <si>
    <t>mail@2dim-elefth.kav.sch.gr</t>
  </si>
  <si>
    <t>ΕΛΕΥΘΕΡΟΥΠΟΛΗ,</t>
  </si>
  <si>
    <t>ΜΗΤΡΟΠΟΛΕΩΣ 5</t>
  </si>
  <si>
    <t>5ο ΔΗΜΟΤΙΚΟ ΣΧΟΛΕΙΟ ΧΡΥΣΟΥΠΟΛΗΣ</t>
  </si>
  <si>
    <t>mail@5dim-chrys.kav.sch.gr</t>
  </si>
  <si>
    <t>ΧΡΥΣΟΥΠΟΛΗ</t>
  </si>
  <si>
    <t>ΜΠΟΤΣΑΡΗ-ΕΓΝΑΤΙΑΣ 43</t>
  </si>
  <si>
    <t>17ο ΔΗΜΟΤΙΚΟ ΣΧΟΛΕΙΟ ΚΑΒΑΛΑΣ</t>
  </si>
  <si>
    <t>mail@17dim-kaval.kav.sch.gr</t>
  </si>
  <si>
    <t>ΔΡΑΜΑΣ 1</t>
  </si>
  <si>
    <t>18ο ΔΗΜΟΤΙΚΟ ΣΧΟΛΕΙΟ ΚΑΒΑΛΑΣ</t>
  </si>
  <si>
    <t>mail@18dim-kaval.kav.sch.gr</t>
  </si>
  <si>
    <t>ΜΑΡΤΖΩΚΗ 6</t>
  </si>
  <si>
    <t>1ο ΔΗΜΟΤΙΚΟ ΣΧΟΛΕΙΟ  ΝΕΑΣ ΠΕΡΑΜΟΥ ΚΑΒΑΛΑΣ</t>
  </si>
  <si>
    <t>dimnper@sch.gr</t>
  </si>
  <si>
    <t>ΝΕΑ  ΠΕΡΑΜΟΣ</t>
  </si>
  <si>
    <t>ΑΓΙΟΥ ΝΙΚΟΛΑΟΥ</t>
  </si>
  <si>
    <t>ΝΗΠΙΑΓΩΓΕΙΟ ΠΡΙΝΟΥ "ΚΑΛΤΣΑ"</t>
  </si>
  <si>
    <t>mail@nip-prinou.kav.sch.gr</t>
  </si>
  <si>
    <t>ΠΡΙΝΟΥ</t>
  </si>
  <si>
    <t>ΠΡΙΝΟΣ</t>
  </si>
  <si>
    <t>25ο ΔΗΜΟΤΙΚΟ ΣΧΟΛΕΙΟ ΚΑΒΑΛΑΣ</t>
  </si>
  <si>
    <t>mail@25dim-kaval.kav.sch.gr</t>
  </si>
  <si>
    <t>ΥΨΗΛΑΝΤΟΥ 11</t>
  </si>
  <si>
    <t>5ο  ΔΗΜΟΤΙΚΟ ΣΧΟΛΕΙΟ ΚΑΒΑΛΑΣ</t>
  </si>
  <si>
    <t>mail@5dim-kaval.kav.sch.gr</t>
  </si>
  <si>
    <t>ΚΑΡΑΪΣΚΑΚΗ 6</t>
  </si>
  <si>
    <t>19ο  ΔΗΜΟΤΙΚΟ ΣΧΟΛΕΙΟ ΚΑΒΑΛΑΣ</t>
  </si>
  <si>
    <t>mail@19dim-kaval.kav.sch.gr</t>
  </si>
  <si>
    <t>ΑΛΚΙΝΟΟΥ 11</t>
  </si>
  <si>
    <t>ΔΗΜΟΤΙΚΟ ΣΧΟΛΕΙΟ ΑΓΙΑΣΜΑΤΟΣ-ΠΗΓΩΝ</t>
  </si>
  <si>
    <t>mail@dim-agiasm.kav.sch.gr</t>
  </si>
  <si>
    <t>Αγίασμα</t>
  </si>
  <si>
    <t>ΔΗΜΟΤΙΚΟ ΣΧΟΛΕΙΟ ΓΡΑΒΟΥΝΑΣ-ΓΕΡΟΝΤΑ-ΖΑΡΚΑΔΙΑΣ-ΠΕΡΝΗΣ</t>
  </si>
  <si>
    <t>mail@dim-gravoun.kav.sch.gr</t>
  </si>
  <si>
    <t>Γραβούνα</t>
  </si>
  <si>
    <t>ΔΗΜΟΤΙΚΟ ΣΧΟΛΕΙΟ ΧΡΥΣΟΧΩΡΙΟΥ</t>
  </si>
  <si>
    <t>mail@dim-chrys.kav.sch.gr</t>
  </si>
  <si>
    <t>ΧΡΥΣΟΧΩΡΙ</t>
  </si>
  <si>
    <t>ΧΡΥΣΟΧΩΡΙ-ΝΕΣΤΟΥ-ΚΑΒΑΛΑΣ</t>
  </si>
  <si>
    <t>4ο ΔΗΜΟΤΙΚΟ ΣΧΟΛΕΙΟ ΧΡΥΣΟΥΠΟΛΗΣ</t>
  </si>
  <si>
    <t>mail@4dim-chrys.kav.sch.gr</t>
  </si>
  <si>
    <t>21ο  ΔΗΜΟΤΙΚΟ ΣΧΟΛΕΙΟ ΚΑΒΑΛΑΣ</t>
  </si>
  <si>
    <t>mail@21dim-kaval.kav.sch.gr</t>
  </si>
  <si>
    <t>ΑΓΙΟΣ ΛΟΥΚΑΣ-ΚΑΒΑΛΑ</t>
  </si>
  <si>
    <t>ΧΑΝΙΩΝ 1</t>
  </si>
  <si>
    <t>ΔΗΜΟΤΙΚΟ ΣΧΟΛΕΙΟ ΠΡΙΝΟΥ</t>
  </si>
  <si>
    <t>mail@dim-prinou.kav.sch.gr</t>
  </si>
  <si>
    <t>Πρίνος</t>
  </si>
  <si>
    <t>ΔΗΜΟΤΙΚΟ ΣΧΟΛΕΙΟ ΕΡΑΤΕΙΝΟΥ-ΠΕΤΡΟΠΗΓΗΣ-ΠΟΝΤΟΛΙΒΑΔΟΥ</t>
  </si>
  <si>
    <t>mail@dim-eratein.kav.sch.gr</t>
  </si>
  <si>
    <t>ΕΡΑΤΕΙΝΟ</t>
  </si>
  <si>
    <t>ΔΗΜΟΤΙΚΟ ΣΧΟΛΕΙΟ ΠΟΤΑΜΙΑΣ ΘΑΣΟΥ</t>
  </si>
  <si>
    <t>mail@dim-potam.kav.sch.gr</t>
  </si>
  <si>
    <t>ΠΟΤΑΜΙΑ</t>
  </si>
  <si>
    <t>ΔΗΜΟΤΙΚΟ ΣΧΟΛΕΙΟ ΖΥΓΟΥ</t>
  </si>
  <si>
    <t>mail@dim-zygou.kav.sch.gr</t>
  </si>
  <si>
    <t>ΖΥΓΟΣ</t>
  </si>
  <si>
    <t>7ο ΔΗΜΟΤΙΚΟ ΣΧΟΛΕΙΟ ΚΑΒΑΛΑΣ</t>
  </si>
  <si>
    <t>mail@7dim-kaval.kav.sch.gr</t>
  </si>
  <si>
    <t>Θ ΠΟΥΛΙΔΟΥ 71</t>
  </si>
  <si>
    <t>ΔΗΜΟΤΙΚΟ ΣΧΟΛΕΙΟ ΝΕΑΣ ΚΑΡΒΑΛΗΣ</t>
  </si>
  <si>
    <t>mail@dim-n-karval.kav.sch.gr</t>
  </si>
  <si>
    <t>Ν. ΚΑΡΒΑΛΗ</t>
  </si>
  <si>
    <t>ΔΗΜΟΤΙΚΟ ΣΧΟΛΕΙΟ ΛΙΜΕΝΑΡΙΩΝ</t>
  </si>
  <si>
    <t>mail@dim-limen.kav.sch.gr</t>
  </si>
  <si>
    <t>Λιμενάρια</t>
  </si>
  <si>
    <t>13ο ΔΗΜΟΤΙΚΟ ΣΧΟΛΕΙΟ ΚΑΒΑΛΑΣ</t>
  </si>
  <si>
    <t>mail@13dim-kaval.kav.sch.gr</t>
  </si>
  <si>
    <t>ΘΕΣΣΑΛΟΝΙΚΗΣ 61</t>
  </si>
  <si>
    <t>15ο ΔΗΜΟΤΙΚΟ ΣΧΟΛΕΙΟ ΚΑΒΑΛΑΣ</t>
  </si>
  <si>
    <t>mail@15dim-kaval.kav.sch.gr</t>
  </si>
  <si>
    <t>Καβάλα</t>
  </si>
  <si>
    <t>Ομονοίας 97</t>
  </si>
  <si>
    <t>2ο ΔΗΜΟΤΙΚΟ ΣΧΟΛΕΙΟ ΧΡΥΣΟΥΠΟΛΗΣ</t>
  </si>
  <si>
    <t>mail@2dim-chrys.kav.sch.gr</t>
  </si>
  <si>
    <t>Πρεμετής</t>
  </si>
  <si>
    <t>2ο ΝΗΠΙΑΓΩΓΕΙΟ ΛΙΜΕΝΑΡΙΩΝ</t>
  </si>
  <si>
    <t>mail@2nip-limen.kav.sch.gr</t>
  </si>
  <si>
    <t>9ο ΔΗΜΟΤΙΚΟ ΣΧΟΛΕΙΟ ΚΑΒΑΛΑΣ</t>
  </si>
  <si>
    <t>mail@9dim-kaval.kav.sch.gr</t>
  </si>
  <si>
    <t>ΔΗΜΟΤΙΚΟ ΣΧΟΛΕΙΟ ΠΑΛΗΟΥ</t>
  </si>
  <si>
    <t>mail@dim-paliou.kav.sch.gr</t>
  </si>
  <si>
    <t>ΠΑΛΗΟ</t>
  </si>
  <si>
    <t>Μ. ΑΝΑΓΝΩΣΤΑΚΗ 1</t>
  </si>
  <si>
    <t>2ο  ΔΗΜΟΤΙΚΟ ΣΧΟΛΕΙΟ ΝΕΑΣ ΠΕΡΑΜΟΥ</t>
  </si>
  <si>
    <t>mail@2dim-n-peram.kav.sch.gr</t>
  </si>
  <si>
    <t>ΝΕΑ ΠΕΡΑΜΟΣ</t>
  </si>
  <si>
    <t>ΜΗΤΡΟΠΟΛΙΤΟΥ ΑΜΒΡΟΣΙΟΥ ΚΑΙ  ΛΕΩΦΟΡΟΥ ΝΙΚΗΣ</t>
  </si>
  <si>
    <t>1ο  ΔΗΜΟΤΙΚΟ ΣΧΟΛΕΙΟ ΘΑΣΟΥ</t>
  </si>
  <si>
    <t>mail@1dim-thasou.kav.sch.gr</t>
  </si>
  <si>
    <t>ΘΑΣΟΣ ΘΑΣΟΥ</t>
  </si>
  <si>
    <t>ΠΙΕΡ ΝΤΕ ΒΑΜΠΕΖ, 1</t>
  </si>
  <si>
    <t>3ο ΔΗΜΟΤΙΚΟ ΣΧΟΛΕΙΟ ΕΛΕΥΘΕΡΟΥΠΟΛΗΣ</t>
  </si>
  <si>
    <t>mail@3dim-elefth.kav.sch.gr</t>
  </si>
  <si>
    <t>Ελευθερούπολη</t>
  </si>
  <si>
    <t>Λ. ΣΕΡΡΩΝ</t>
  </si>
  <si>
    <t>4ο ΝΗΠΙΑΓΩΓΕΙΟ ΕΛΕΥΘΕΡΟΥΠΟΛΗΣ</t>
  </si>
  <si>
    <t>mail@4nip-elefth.kav.sch.gr</t>
  </si>
  <si>
    <t>ΝΕΟ ΣΥΡΡΑΚΟ</t>
  </si>
  <si>
    <t>2ο ΔΗΜΟΤΙΚΟ ΣΧΟΛΕΙΟ ΚΑΒΑΛΑΣ</t>
  </si>
  <si>
    <t>mail@2dim-kaval.kav.sch.gr</t>
  </si>
  <si>
    <t>ΚΟΛΟΚΟΤΡΩΝΗ 88</t>
  </si>
  <si>
    <t>Π.Ε. ΞΑΝΘΗΣ</t>
  </si>
  <si>
    <t>11ο  ΔΗΜΟΤΙΚΟ ΣΧΟΛΕΙΟ ΞΑΝΘΗΣ</t>
  </si>
  <si>
    <t>mail@11dim-xanth.xan.sch.gr</t>
  </si>
  <si>
    <t>ΞΑΝΘΗΣ</t>
  </si>
  <si>
    <t>ΞΑΝΘΗ</t>
  </si>
  <si>
    <t>ΝΕΑΠΟΛΗ</t>
  </si>
  <si>
    <t>1ο ΔΗΜΟΤΙΚΟ ΣΧΟΛΕΙΟ ΞΑΝΘΗΣ</t>
  </si>
  <si>
    <t>mail@1dim-xanth.xan.sch.gr</t>
  </si>
  <si>
    <t>ΜΑΤΣΙΝΗ 1</t>
  </si>
  <si>
    <t>ΜΕΙΟΝΟΤΙΚΟ ΔΗΜΟΤΙΚΟ ΣΧΟΛΕΙΟ ΕΧΙΝΟΥ</t>
  </si>
  <si>
    <t>mail@dim-meion-echin.xan.sch.gr</t>
  </si>
  <si>
    <t>ΜΥΚΗΣ</t>
  </si>
  <si>
    <t>ΕΧΙΝΟΥ</t>
  </si>
  <si>
    <t>ΕΧΙΝΟΣ Ν ΞΑΝΘΗΣ</t>
  </si>
  <si>
    <t>ΔΗΜΟΤΙΚΟ ΣΧΟΛΕΙΟ ΓΕΝΙΣΕΑΣ</t>
  </si>
  <si>
    <t>mail@dim-genis.xan.sch.gr</t>
  </si>
  <si>
    <t>ΑΒΔΗΡΩΝ</t>
  </si>
  <si>
    <t>ΓΕΝΙΣΕΑ</t>
  </si>
  <si>
    <t>6ο ΔΗΜΟΤΙΚΟ ΣΧΟΛΕΙΟ ΞΑΝΘΗΣ</t>
  </si>
  <si>
    <t>mail@6dim-xanth.xan.sch.gr</t>
  </si>
  <si>
    <t>ΒΕΛΙΣΣΑΡΙΟΥ 14</t>
  </si>
  <si>
    <t>12ο ΔΗΜΟΤΙΚΟ ΣΧΟΛΕΙΟ ΞΑΝΘΗΣ</t>
  </si>
  <si>
    <t>mail@12dim-xanth.xan.sch.gr</t>
  </si>
  <si>
    <t>ΜΑΡΑΘΩΝΟΣ 2</t>
  </si>
  <si>
    <t>6ο ΝΗΠΙΑΓΩΓΕΙΟ ΞΑΝΘΗΣ</t>
  </si>
  <si>
    <t>mail@6nip-xanth.xan.sch.gr</t>
  </si>
  <si>
    <t>ΚΛΕΜΑΝΣΩ 50</t>
  </si>
  <si>
    <t>4ο ΔΗΜΟΤΙΚΟ ΣΧΟΛΕΙΟ ΞΑΝΘΗΣ</t>
  </si>
  <si>
    <t>mail@4dim-xanth.xan.sch.gr</t>
  </si>
  <si>
    <t>ΠΕΡΙΚΛΕΟΥΣ 1</t>
  </si>
  <si>
    <t>12ο ΝΗΠΙΑΓΩΓΕΙΟ ΞΑΝΘΗΣ</t>
  </si>
  <si>
    <t>mail@12nip-xanth.xan.sch.gr</t>
  </si>
  <si>
    <t>ΒΕΝΙΖΕΛΟΥ 49</t>
  </si>
  <si>
    <t>ΝΗΠΙΑΓΩΓΕΙΟ ΑΥΞΕΝΤΙΟΥ</t>
  </si>
  <si>
    <t>mail@nip-afxent.xan.sch.gr</t>
  </si>
  <si>
    <t>ΑΥΞΕΝΤΙΟ</t>
  </si>
  <si>
    <t>2ο ΜΕΙΟΝΟΤΙΚΟ ΔΗΜΟΤΙΚΟ ΣΧΟΛΕΙΟ ΞΑΝΘΗΣ</t>
  </si>
  <si>
    <t>mail@2dim-meion-xanth.xan.sch.gr</t>
  </si>
  <si>
    <t>ΛΕΩΦΟΡΟΣ  ΣΤΡΑΤΟΥ 8</t>
  </si>
  <si>
    <t>ΝΗΠΙΑΓΩΓΕΙΟ ΤΟΞΟΤΩΝ</t>
  </si>
  <si>
    <t>mail@nip-toxot.xan.sch.gr</t>
  </si>
  <si>
    <t>ΤΟΠΕΙΡΟΥ</t>
  </si>
  <si>
    <t>ΤΟΞΟΤΕΣ</t>
  </si>
  <si>
    <t>ΝΗΠΙΑΓΩΓΕΙΟ ΜΑΓΙΚΟΥ</t>
  </si>
  <si>
    <t>mail@nip-magik.xan.sch.gr</t>
  </si>
  <si>
    <t>ΜΑΓΙΚΟ</t>
  </si>
  <si>
    <t>2ο ΝΗΠΙΑΓΩΓΕΙΟ ΞΑΝΘΗΣ</t>
  </si>
  <si>
    <t>mail@2nip-xanth.xan.sch.gr</t>
  </si>
  <si>
    <t>ΤΖΑΒΕΛΑ 6</t>
  </si>
  <si>
    <t>4ο ΝΗΠΙΑΓΩΓΕΙΟ ΞΑΝΘΗΣ</t>
  </si>
  <si>
    <t>mail@4nip-xanth.xan.sch.gr</t>
  </si>
  <si>
    <t>1ο ΝΗΠΙΑΓΩΓΕΙΟ ΚΙΜΜΕΡΙΩΝ</t>
  </si>
  <si>
    <t>mail@nip-kimmer.xan.sch.gr</t>
  </si>
  <si>
    <t>ΚΙΜΜΕΡΙΑ</t>
  </si>
  <si>
    <t>3ο ΝΗΠΙΑΓΩΓΕΙΟ ΞΑΝΘΗΣ</t>
  </si>
  <si>
    <t>mail@3nip-xanth.xan.sch.gr</t>
  </si>
  <si>
    <t>ΑΒΔΗΡΩΝ 31</t>
  </si>
  <si>
    <t>15ο  ΝΗΠΙΑΓΩΓΕΙΟ ΞΑΝΘΗ</t>
  </si>
  <si>
    <t>mail@15nip-xanth.xan.sch.gr</t>
  </si>
  <si>
    <t>ΔΡΟΣΕΡΟ</t>
  </si>
  <si>
    <t>17ο ΝΗΠΙΑΓΩΓΕΙΟ ΞΑΝΘΗΣ</t>
  </si>
  <si>
    <t>mail@17nip-xanth.xan.sch.gr</t>
  </si>
  <si>
    <t>ΙΕΡΟΛΟΧΙΤΩΝ 2</t>
  </si>
  <si>
    <t>ΔΗΜΟΤΙΚΟ ΣΧΟΛΕΙΟ ΠΟΛΥΣΙΤΟΥ</t>
  </si>
  <si>
    <t>mail@dim-polys.xan.sch.gr</t>
  </si>
  <si>
    <t>Πολύσιτος</t>
  </si>
  <si>
    <t>ΠΟΛΥΣΙΤΟΣ</t>
  </si>
  <si>
    <t>ΔΗΜΟΤΙΚΟ ΣΧΟΛΕΙΟ ΤΟΞΟΤΩΝ</t>
  </si>
  <si>
    <t>mail@dim-toxot.xan.sch.gr</t>
  </si>
  <si>
    <t xml:space="preserve">ΤΟΞΟΤΕΣ  </t>
  </si>
  <si>
    <t>ΤΟΞΟΤΕΣ  ΞΑΝΘΗΣ</t>
  </si>
  <si>
    <t>8ο ΝΗΠΙΑΓΩΓΕΙΟ ΞΑΝΘΗΣ</t>
  </si>
  <si>
    <t>mail@8nip-xanth.xan.sch.gr</t>
  </si>
  <si>
    <t>ΤΕΡΜΑ ΓΕΩΡΓΙΟΥ ΠΟΛΙΤΗ</t>
  </si>
  <si>
    <t>7ο ΝΗΠΙΑΓΩΓΕΙΟ ΞΑΝΘΗΣ</t>
  </si>
  <si>
    <t>mail@7nip-xanth.xan.sch.gr</t>
  </si>
  <si>
    <t>ΠΛΑΤΕΙΑ ΖΑΛΑΧΑ 9</t>
  </si>
  <si>
    <t>5ο ΝΗΠΙΑΓΩΓΕΙΟ ΞΑΝΘΗΣ</t>
  </si>
  <si>
    <t>mail@5nip-xanth.xan.sch.gr</t>
  </si>
  <si>
    <t>ΠΛΑΤΕΙΑ ΔΗΜΟΓΕΡΟΝΤΙΑΣ-Ν.ΕΡΓΑΤΙΚΕΣ ΚΑΤΟΙΚΙΕΣ</t>
  </si>
  <si>
    <t>Ολοήμερο Πειραματικό Νηπιαγωγείο μη ενταγμένο στο Πανεπιστήμιο</t>
  </si>
  <si>
    <t>13ο ΠΕΙΡΑΜΑΤΙΚΟ ΝΗΠΙΑΓΩΓΕΙΟ ΞΑΝΘΗΣ</t>
  </si>
  <si>
    <t>mail@13nip-xanth.xan.sch.gr</t>
  </si>
  <si>
    <t>ΝΗΠΙΑΓΩΓΕΙΟ ΣΟΥΝΙΟΥ</t>
  </si>
  <si>
    <t>mail@nip-souniou.xan.sch.gr</t>
  </si>
  <si>
    <t>ΣΟΥΝΙΟ</t>
  </si>
  <si>
    <t>9ο  ΝΗΠΙΑΓΩΓΕΙΟ ΞΑΝΘΗΣ</t>
  </si>
  <si>
    <t>mail@9nip-xanth.xan.sch.gr</t>
  </si>
  <si>
    <t>ΑΘΗΝΩΝ 1</t>
  </si>
  <si>
    <t>Ολοήμερο Πειραματικό Δημοτικό Σχολείο μη ενταγμένο στο Πανεπιστήμιο</t>
  </si>
  <si>
    <t>17ο ΠΕΙΡΑΜΑΤΙΚΟ ΔΗΜΟΤΙΚΟ ΣΧΟΛΕΙΟ ΞΑΝΘΗΣ</t>
  </si>
  <si>
    <t>mail@17dim-xanth.xan.sch.gr</t>
  </si>
  <si>
    <t>ΙΕΡΟΛΟΧΙΤΩΝ 4  ΚΑΛΛΙΘΕΑ</t>
  </si>
  <si>
    <t>15ο ΔΗΜΟΤΙΚΟ ΣΧΟΛΕΙΟ ΞΑΝΘΗΣ</t>
  </si>
  <si>
    <t>mail@15dim-xanth.xan.sch.gr</t>
  </si>
  <si>
    <t xml:space="preserve">ΞΑΝΘΗ  </t>
  </si>
  <si>
    <t>ΝΗΠΙΑΓΩΓΕΙΟ ΑΒΔΗΡΑ</t>
  </si>
  <si>
    <t>mail@nip-avdir.xan.sch.gr</t>
  </si>
  <si>
    <t>ΑΒΔΗΡΑ</t>
  </si>
  <si>
    <t>18ο ΔΗΜΟΤΙΚΟ ΣΧΟΛΕΙΟ ΞΑΝΘΗΣ</t>
  </si>
  <si>
    <t>18dimxan@sch.gr</t>
  </si>
  <si>
    <t>ΗΛΙΟΥΠΟΛΕΩΣ 9</t>
  </si>
  <si>
    <t>ΔΗΜΟΤΙΚΟ ΣΧΟΛΕΙΟ ΠΕΤΕΙΝΟΥ</t>
  </si>
  <si>
    <t>dimpetin@sch.gr</t>
  </si>
  <si>
    <t>ΠΕΤΕΙΝΟΣ</t>
  </si>
  <si>
    <t>ΠΕΤΕΙΝΟΣ-ΔΙΟΜΗΔΕΙΑ</t>
  </si>
  <si>
    <t>16ο  ΝΗΠΙΑΓΩΓΕΙΟ ΞΑΝΘΗΣ</t>
  </si>
  <si>
    <t>mail@16nip-xanth.xan.sch.gr</t>
  </si>
  <si>
    <t>ΠΕΤΡΕΛΑΙΟΑΠΟΘΗΚΩΝ</t>
  </si>
  <si>
    <t>ΔΗΜΟΤΙΚΟ ΣΧΟΛΕΙΟ ΕΡΑΣΜΙΟΥ</t>
  </si>
  <si>
    <t>mail@dim-erasm.xan.sch.gr</t>
  </si>
  <si>
    <t>ΕΡΑΣΜΙΟ</t>
  </si>
  <si>
    <t>ΜΕΙΟΝΟΤΙΚΟ ΔΗΜΟΤΙΚΟ ΣΧΟΛΕΙΟ ΓΛΑΥΚΗΣ</t>
  </si>
  <si>
    <t>mail@dim-meion-glafk.xan.sch.gr</t>
  </si>
  <si>
    <t>ΓΛΑΥΚΗ</t>
  </si>
  <si>
    <t>ΝΗΠΙΑΓΩΓΕΙΟ ΜΙΚΡΟΥ ΕΥΜΟΙΡΟΥ</t>
  </si>
  <si>
    <t>mail@nip-m-evmoir.xan.sch.gr</t>
  </si>
  <si>
    <t>ΜΙΚΡΟ ΕΥΜΟΙΡΟ</t>
  </si>
  <si>
    <t>ΔΗΜΟΤΙΚΟ ΣΧΟΛΕΙΟ ΔΙΟΜΗΔΕΙΑΣ</t>
  </si>
  <si>
    <t>mail@dim-diomid.xan.sch.gr</t>
  </si>
  <si>
    <t>ΔΙΟΜΗΔΕΙΑ</t>
  </si>
  <si>
    <t>ΔΗΜΟΤΙΚΟ ΣΧΟΛΕΙΟ ΑΒΔΗΡΩΝ</t>
  </si>
  <si>
    <t>mail@dim-avdir.xan.sch.gr</t>
  </si>
  <si>
    <t>ΔΗΜΟΤΙΚΟ ΣΧΟΛΕΙΟ ΜΙΚΡΟΥ ΕΥΜΟΙΡΟΥ ΞΑΝΘΗΣ</t>
  </si>
  <si>
    <t>mail@dim-n-evmoir.xan.sch.gr</t>
  </si>
  <si>
    <t>ΜΕΙΟΝΟΤΙΚΟ ΔΗΜΟΤΙΚΟ ΣΧΟΛΕΙΟ ΣΕΛΕΡΟΥ</t>
  </si>
  <si>
    <t>mail@dim-meion-seler.xan.sch.gr</t>
  </si>
  <si>
    <t>ΣΕΛΕΡΟ</t>
  </si>
  <si>
    <t>3ο ΔΗΜΟΤΙΚΟ ΣΧΟΛΕΙΟ ΞΑΝΘΗΣ</t>
  </si>
  <si>
    <t>mail@3dim-xanth.xan.sch.gr</t>
  </si>
  <si>
    <t>28ΗΣ  ΟΚΤΩΒΡΙΟΥ 197</t>
  </si>
  <si>
    <t>ΜΕΙΟΝΟΤΙΚΟ ΔΗΜΟΤΙΚΟ ΣΧΟΛΕΙΟ ΚΕΝΤΑΥΡΟΥ</t>
  </si>
  <si>
    <t>mail@dim-kentavr.xan.sch.gr</t>
  </si>
  <si>
    <t>Κένταυρος</t>
  </si>
  <si>
    <t>5ο ΔΗΜΟΤΙΚΟ ΣΧΟΛΕΙΟ ΞΑΝΘΗΣ</t>
  </si>
  <si>
    <t>mail@5dim-xanth.xan.sch.gr</t>
  </si>
  <si>
    <t>ΤΕΡΜΑ  ΣΤ. ΒΛΑΧΟΠΟΥΛΟΥ</t>
  </si>
  <si>
    <t>1ο ΜΕΙΟΝΟΤΙΚΟ ΔΗΜΟΤΙΚΟ ΣΧΟΛΕΙΟ ΞΑΝΘΗΣ</t>
  </si>
  <si>
    <t>mail@1dim-meion-xanth.xan.sch.gr</t>
  </si>
  <si>
    <t>ΥΔΡΑΣ 4</t>
  </si>
  <si>
    <t>10ο ΔΗΜΟΤΙΚΟ ΣΧΟΛΕΙΟ ΞΑΝΘΗΣ</t>
  </si>
  <si>
    <t>mail@10dim-xanth.xan.sch.gr</t>
  </si>
  <si>
    <t>ΣΤΡ.ΜΑΚΡΥΓΙΑΝΝΗ-ΣΤ.ΒΛΑΧΟΠΟΥΛΟΥ</t>
  </si>
  <si>
    <t>9ο ΔΗΜΟΤΙΚΟ ΣΧΟΛΕΙΟ ΞΑΝΘΗΣ</t>
  </si>
  <si>
    <t>mail@9dim-xanth.xan.sch.gr</t>
  </si>
  <si>
    <t>8ο ΔΗΜΟΤΙΚΟ ΣΧΟΛΕΙΟ ΞΑΝΘΗΣ</t>
  </si>
  <si>
    <t>mail@8dim-xanth.xan.sch.gr</t>
  </si>
  <si>
    <t>ΑΛΕΞΑΝΔΡΟΥ ΠΑΠΑΓΟΥ 51 - ΧΡΥΣΑ  ΞΑΝΘΗ</t>
  </si>
  <si>
    <t>7ο ΔΗΜΟΤΙΚΟ ΣΧΟΛΕΙΟ ΞΑΝΘΗΣ</t>
  </si>
  <si>
    <t>mail@7dim-xanth.xan.sch.gr</t>
  </si>
  <si>
    <t>ΒΑΣΙΛΙΣΣΗΣ ΣΟΦΙΑΣ 27</t>
  </si>
  <si>
    <t>13ο ΔΗΜΟΤΙΚΟ ΣΧΟΛΕΙΟ ΞΑΝΘΗΣ</t>
  </si>
  <si>
    <t>mail@13dim-xanth.xan.sch.gr</t>
  </si>
  <si>
    <t>ΑΛΙΚΑΡΝΑΣΣΟΥ  3</t>
  </si>
  <si>
    <t>14ο  ΔΗΜΟΤΙΚΟ ΣΧΟΛΕΙΟ ΞΑΝΘΗΣ</t>
  </si>
  <si>
    <t>14dimxan@sch.gr</t>
  </si>
  <si>
    <t>ΚΛΕΜΑΝΣΩ &amp; ΙΚΟΝΙΟΥ</t>
  </si>
  <si>
    <t>20ο ΔΗΜΟΤΙΚΟ ΣΧΟΛΕΙΟ ΞΑΝΘΗΣ</t>
  </si>
  <si>
    <t>mail@20dim-xanth.xan.sch.gr</t>
  </si>
  <si>
    <t>Ξάνθη</t>
  </si>
  <si>
    <t>ΝΗΠΙΑΓΩΓΕΙΟ ΣΕΛΕΡΟ</t>
  </si>
  <si>
    <t>mail@nip-seler.xan.sch.gr</t>
  </si>
  <si>
    <t>2ο ΔΗΜΟΤΙΚΟ ΣΧΟΛΕΙΟ ΞΑΝΘΗΣ</t>
  </si>
  <si>
    <t>mail@2dim-xanth.xan.sch.gr</t>
  </si>
  <si>
    <t>2ο ΝΗΠΙΑΓΩΓΕΙΟ ΚΙΜΜΕΡΙΩΝ</t>
  </si>
  <si>
    <t>mail@nip-par-kimmer.xan.sch.gr</t>
  </si>
  <si>
    <t>Κιμμερίων</t>
  </si>
  <si>
    <t>Σαλαμίνος 30</t>
  </si>
  <si>
    <t>18ο ΝΗΠΙΑΓΩΓΕΙΟ ΞΑΝΘΗΣ</t>
  </si>
  <si>
    <t>mail@18nip-xanth.xan.sch.gr</t>
  </si>
  <si>
    <t>ΑΠΟΛΛΩΝΟΣ 2</t>
  </si>
  <si>
    <t>Π.Ε. ΡΟΔΟΠΗΣ</t>
  </si>
  <si>
    <t>3ο ΜΕΙΟΝΟΤΙΚΟ ΔΗΜΟΤΙΚΟ ΣΧΟΛΕΙΟ ΚΟΜΟΤΗΝΗΣ</t>
  </si>
  <si>
    <t>mail@3dim-meion-komot.rod.sch.gr</t>
  </si>
  <si>
    <t>ΚΟΜΟΤΗΝΗΣ</t>
  </si>
  <si>
    <t>ΚΟΜΟΤΗΝΗ</t>
  </si>
  <si>
    <t>ΑΝΤΙΓΟΝΟΥ 19</t>
  </si>
  <si>
    <t>ΜΕΙΟΝΟΤΙΚΟ ΔΗΜΟΤΙΚΟ ΣΧΟΛΕΙΟ ΣΑΠΩΝ</t>
  </si>
  <si>
    <t>mail@dim-meion-sappon.rod.sch.gr</t>
  </si>
  <si>
    <t>ΜΑΡΩΝΕΙΑΣ-ΣΑΠΩΝ</t>
  </si>
  <si>
    <t>ΣΑΠΩΝ</t>
  </si>
  <si>
    <t>ΑΛΚΙΒΙΑΔΗ 2</t>
  </si>
  <si>
    <t>4ο ΜΕΙΟΝΟΤΙΚΟ ΔΗΜΟΤΙΚΟ ΣΧΟΛΕΙΟ ΚΟΜΟΤΗΝΗΣ</t>
  </si>
  <si>
    <t>mail@4dim-meion-komot.rod.sch.gr</t>
  </si>
  <si>
    <t>ΣΥΝ. ΗΦΑΙΣΤΟΥ</t>
  </si>
  <si>
    <t>13ο ΔΗΜΟΤΙΚΟ ΣΧΟΛΕΙΟ ΚΟΜΟΤΗΝΗΣ</t>
  </si>
  <si>
    <t>mail@13dim-komot.rod.sch.gr</t>
  </si>
  <si>
    <t>ΦΙΛΙΚΗΣ ΕΤΑΙΡΕΙΑΣ  63</t>
  </si>
  <si>
    <t>10ο ΔΗΜΟΤΙΚΟ ΣΧΟΛΕΙΟ ΚΟΜΟΤΗΝΗΣ</t>
  </si>
  <si>
    <t>mail@10dim-komot.rod.sch.gr</t>
  </si>
  <si>
    <t>ΔΕΚΑΤΗΣ ΤΕΤΑΡΤΗΣ ΜΑΪΟΥ 1920 ΤΕΡΜΑ ΚΟΜΟΤΗΝΗ</t>
  </si>
  <si>
    <t>1ο ΜΕΙΟΝΟΤΙΚΟ ΔΗΜΟΤΙΚΟ ΣΧΟΛΕΙΟ ΚΟΜΟΤΗΝΗΣ</t>
  </si>
  <si>
    <t>mail@1dim-meion-komot.rod.sch.gr</t>
  </si>
  <si>
    <t>ΠΕΤΡΟΜΠΕΗ ΜΑΥΡΟΜΙΧΑΛΗ 29</t>
  </si>
  <si>
    <t>ΜΕΙΟΝΟΤΙΚΟ ΔΗΜΟΤΙΚΟ ΣΧΟΛΕΙΟ ΑΡΡΙΑΝΏΝ</t>
  </si>
  <si>
    <t>mail@1dim-meion-arrian.rod.sch.gr</t>
  </si>
  <si>
    <t>ΑΡΡΙΑΝΩΝ</t>
  </si>
  <si>
    <t>ΑΡΡΙΑΝΑ  Ν.ΡΟΔΟΠΗΣ</t>
  </si>
  <si>
    <t>ΑΡΡΙΑΝΑ</t>
  </si>
  <si>
    <t>8ο ΔΗΜΟΤΙΚΟ ΣΧΟΛΕΙΟ ΚΟΜΟΤΗΝΗΣ</t>
  </si>
  <si>
    <t>mail@8dim-komot.rod.sch.gr</t>
  </si>
  <si>
    <t>ΟΛΥΜΠΟΥ ΤΕΡΜΑ</t>
  </si>
  <si>
    <t>ΜΕΙΟΝΟΤΙΚΟ ΔΗΜΟΤΙΚΟ ΣΧΟΛΕΙΟ ΜΑΣΤΑΝΛΗ ΚΟΜΟΤΗΝΗΣ</t>
  </si>
  <si>
    <t>mail@dim-meion-mastanl.rod.sch.gr</t>
  </si>
  <si>
    <t>ΜΙΝΩΟΣ 17</t>
  </si>
  <si>
    <t>ΝΗΠΙΑΓΩΓΕΙΟ ΓΡΑΤΙΝΗΣ</t>
  </si>
  <si>
    <t>mail@nip-gratin.rod.sch.gr</t>
  </si>
  <si>
    <t>ΡΟΔΟΠΗΣ</t>
  </si>
  <si>
    <t>ΓΡΑΤΙΝΗ</t>
  </si>
  <si>
    <t>2ο ΝΗΠΙΑΓΩΓΕΙΟ ΚΟΜΟΤΗΝΗΣ</t>
  </si>
  <si>
    <t>mail@2nip-komot.rod.sch.gr</t>
  </si>
  <si>
    <t>ΘΕΜΙΔΟΣ 4</t>
  </si>
  <si>
    <t>ΝΗΠΙΑΓΩΓΕΙΟ ΙΑΣΜΟΥ</t>
  </si>
  <si>
    <t>mail@nip-iasmou.rod.sch.gr</t>
  </si>
  <si>
    <t>ΙΑΣΜΟΥ</t>
  </si>
  <si>
    <t>ΙΑΣΜΟΣ</t>
  </si>
  <si>
    <t>7° ΝΗΠΙΑΓΩΓΕΙΟ ΚΟΜΟΤΗΝΗΣ</t>
  </si>
  <si>
    <t>mail@7nip-komot.rod.sch.gr</t>
  </si>
  <si>
    <t>ΓΡ. ΜΑΡΑΣΛΗ 19</t>
  </si>
  <si>
    <t>Ολοήμερο Δημοτικό Σχολείο Διαπολιτισμικής Εκπαίδευσης</t>
  </si>
  <si>
    <t>ΔΙΑΠΟΛΙΤΙΣΜΙΚΟ ΔΗΜΟΤΙΚΟ ΣΧΟΛΕΙΟ ΙΑΣΜΟΥ</t>
  </si>
  <si>
    <t>mail@dim-iasmou.rod.sch.gr</t>
  </si>
  <si>
    <t>ΚΩΝΣΤΑΝΤΙΝΟΥΠΟΛΕΩΣ 2</t>
  </si>
  <si>
    <t>2ο ΜΕΙΟΝΟΤΙΚΟ ΔΗΜΟΤΙΚΟ ΣΧΟΛΕΙΟ ΚΟΜΟΤΗΝΗΣ</t>
  </si>
  <si>
    <t>mail@2dim-meion-komot.rod.sch.gr</t>
  </si>
  <si>
    <t>ΦΙΛΙΠΠΟΥΠΟΛΕΩΣ 30</t>
  </si>
  <si>
    <t>2ο ΔΗΜΟΤΙΚΟ ΣΧΟΛΕΙΟ ΚΟΜΟΤΗΝΗΣ</t>
  </si>
  <si>
    <t>mail@2dim-komot.rod.sch.gr</t>
  </si>
  <si>
    <t>11ο ΔΗΜΟΤΙΚΟ ΣΧΟΛΕΙΟ ΚΟΜΟΤΗΝΗΣ</t>
  </si>
  <si>
    <t>mail@11dim-komot.rod.sch.gr</t>
  </si>
  <si>
    <t>ΑΓΙΟΥ ΚΟΣΜΑ ΑΙΤΩΛΟΥ 15</t>
  </si>
  <si>
    <t>ΔΗΜΟΤΙΚΟ ΣΧΟΛΕΙΟ ΚΟΣΜΙΟΥ</t>
  </si>
  <si>
    <t>mail@dim-kosmiou.rod.sch.gr</t>
  </si>
  <si>
    <t>ΚΟΣΜΙΟ</t>
  </si>
  <si>
    <t>ΚΟΣΜΙΟ ΚΟΜΟΤΗΝΗΣ</t>
  </si>
  <si>
    <t>9ο ΝΗΠΙΑΓΩΓΕΙΟ ΚΟΜΟΤΗΝΗΣ</t>
  </si>
  <si>
    <t>mail@9nip-komot.rod.sch.gr</t>
  </si>
  <si>
    <t>ΑΛΕΞ. ΠΑΠΑΔΙΑΜΑΝΤΗ</t>
  </si>
  <si>
    <t>3ο ΔΗΜΟΤΙΚΟ ΣΧΟΛΕΙΟ ΚΟΜΟΤΗΝΗΣ</t>
  </si>
  <si>
    <t>mail@3dim-komot.rod.sch.gr</t>
  </si>
  <si>
    <t>ΣΚΕΠΑΣΤΟΥ 24</t>
  </si>
  <si>
    <t>7ο ΔΗΜΟΤΙΚΟ ΣΧΟΛΕΙΟ ΚΟΜΟΤΗΝΗΣ</t>
  </si>
  <si>
    <t>mail@7dim-komot.rod.sch.gr</t>
  </si>
  <si>
    <t>ΓΡΗΓΟΡΙΟΥ ΜΑΡΑΣΛΗ 21</t>
  </si>
  <si>
    <t>4ο ΔΗΜΟΤΙΚΟ ΣΧΟΛΕΙΟ ΚΟΜΟΤΗΝΗΣ</t>
  </si>
  <si>
    <t>mail@4dim-komot.rod.sch.gr</t>
  </si>
  <si>
    <t>ΧΑΡ. ΒΑΜΒΑΚΑ   30</t>
  </si>
  <si>
    <t>5ο ΔΗΜΟΤΙΚΟ ΣΧΟΛΕΙΟ ΚΟΜΟΤΗΝΗΣ ΠΕΙΡΑΜΑΤΙΚΟ</t>
  </si>
  <si>
    <t>mail@5dim-komot.rod.sch.gr</t>
  </si>
  <si>
    <t>ΓΙΑΝΝΗ ΡΙΤΣΟΥ 4</t>
  </si>
  <si>
    <t>6ο ΔΗΜΟΤΙΚΟ ΣΧΟΛΕΙΟ ΚΟΜΟΤΗΝΗΣ</t>
  </si>
  <si>
    <t>6dimkomo@sch.gr</t>
  </si>
  <si>
    <t>ΜΕΣΟΛΟΓΓΙΟΥ  9</t>
  </si>
  <si>
    <t>ΜΕΙΟΝΟΤΙΚΟ ΔΗΜΟΤΙΚΟ ΣΧΟΛΕΙΟ ΦΙΛΛΥΡΑΣ</t>
  </si>
  <si>
    <t>mail@1dim-meion-filyr.rod.sch.gr</t>
  </si>
  <si>
    <t>ΦΙΛΛΥΡΑ</t>
  </si>
  <si>
    <t>ΔΗΜΟΤΙΚΟ ΣΧΟΛΕΙΟ ΑΙΓΕΙΡΟΥ</t>
  </si>
  <si>
    <t>mail@dim-aigeir.rod.sch.gr</t>
  </si>
  <si>
    <t>Αίγειρος</t>
  </si>
  <si>
    <t>ΑΙΓΕΙΡΟΣ ΚΟΜΟΤΗΝΗΣ</t>
  </si>
  <si>
    <t>ΔΙΑΠΟΛΙΤΙΣΜΙΚΟ ΔΗΜΟΤΙΚΟ ΣΧΟΛΕΙΟ ΣΑΠΩΝ</t>
  </si>
  <si>
    <t>mail@dim-sapon.rod.sch.gr</t>
  </si>
  <si>
    <t>ΣΑΠΕΣ</t>
  </si>
  <si>
    <t>Γ. ΓΕΝΝΗΜΑΤΑ 2</t>
  </si>
  <si>
    <t>9ο ΔΗΜΟΤΙΚΟ ΣΧΟΛΕΙΟ ΚΟΜΟΤΗΝΗΣ</t>
  </si>
  <si>
    <t>mail@9dim-komot.rod.sch.gr</t>
  </si>
  <si>
    <t>ΑΛ. ΠΑΠΑΔΙΑΜΑΝΤΗ ΤΕΡΜΑ ΚΟΜΟΤΗΝΗ</t>
  </si>
  <si>
    <t>12ο ΔΗΜΟΤΙΚΟ ΣΧΟΛΕΙΟ ΚΟΜΟΤΗΝΗΣ</t>
  </si>
  <si>
    <t>mail@12dim-komot.rod.sch.gr</t>
  </si>
  <si>
    <t>ΟΠΙΣΘΕΝ ΝΟΣΟΚΟΜΕΙΟΥ -ΔΙΠΛΑ ΣΤΟ 9ο ΔΗΜΟΤΙΚΟ ΣΧ. ΚΟΜΟΤΗΝΗΣ</t>
  </si>
  <si>
    <t>ΝΗΠΙΑΓΩΓΕΙΟ ΑΡΡΙΑΝΑ</t>
  </si>
  <si>
    <t>mail@nip-arrian.rod.sch.gr</t>
  </si>
  <si>
    <t>1ο ΝΗΠΙΑΓΩΓΕΙΟ ΣΑΠΩΝ</t>
  </si>
  <si>
    <t>mail@1nip-sapon.rod.sch.gr</t>
  </si>
  <si>
    <t>ΚΕΡΑΣΟΥΝΤΟΣ 25</t>
  </si>
  <si>
    <t>3ο ΝΗΠΙΑΓΩΓΕΙΟ ΚΟΜΟΤΗΝΗΣ</t>
  </si>
  <si>
    <t>mail@3nip-komot.rod.sch.gr</t>
  </si>
  <si>
    <t>2ο ΝΗΠΙΑΓΩΓΕΙΟ ΣΑΠΩΝ</t>
  </si>
  <si>
    <t>mail@2nip-sapon.rod.sch.gr</t>
  </si>
  <si>
    <t>ΓΕΩΡΓΙΟΥ ΓΕΝΝΗΜΑΤΑ 13</t>
  </si>
  <si>
    <t>8ο ΝΗΠΙΑΓΩΓΕΙΟ ΚΟΜΟΤΗΝΗΣ</t>
  </si>
  <si>
    <t>mail@8nip-komot.rod.sch.gr</t>
  </si>
  <si>
    <t>4ο ΝΗΠΙΑΓΩΓΕΙΟ ΚΟΜΟΤΗΝΗΣ</t>
  </si>
  <si>
    <t>mail@4nip-komot.rod.sch.gr</t>
  </si>
  <si>
    <t>ΧΑΡ. ΒΑΜΒΑΚΑ 30</t>
  </si>
  <si>
    <t>5ο ΝΗΠΙΑΓΩΓΕΙΟ ΚΟΜΟΤΗΝΗΣ</t>
  </si>
  <si>
    <t>mail@5nip-komot.rod.sch.gr</t>
  </si>
  <si>
    <t>ΓΙΑΝΝΗ ΡΙΤΣΟΥ 9</t>
  </si>
  <si>
    <t>6ο ΝΗΠΙΑΓΩΓΕΙΟ ΚΟΜΟΤΗΝΗΣ</t>
  </si>
  <si>
    <t>mail@6nip-komot.rod.sch.gr</t>
  </si>
  <si>
    <t>ΜΕΣΟΛΟΓΓΙΟΥ 7</t>
  </si>
  <si>
    <t>10ο ΝΗΠΙΑΓΩΓΕΙΟ ΚΟΜΟΤΗΝΗΣ</t>
  </si>
  <si>
    <t>mail@10nip-komot.rod.sch.gr</t>
  </si>
  <si>
    <t>Π.ΕΛΗ ΤΕΡΜΑ</t>
  </si>
  <si>
    <t>11ο ΝΗΠΙΑΓΩΓΕΙΟ ΚΟΜΟΤΗΝΗΣ</t>
  </si>
  <si>
    <t>mail@11nip-komot.rod.sch.gr</t>
  </si>
  <si>
    <t>12ο ΝΗΠΙΑΓΩΓΕΙΟ ΚΟΜΟΤΗΝΗΣ</t>
  </si>
  <si>
    <t>mail@12nip-komot.rod.sch.gr</t>
  </si>
  <si>
    <t>ΕΚΤΕΝΕΠΟΛ</t>
  </si>
  <si>
    <t>13ο ΝΗΠΙΑΓΩΓΕΙΟ ΚΟΜΟΤΗΝΗΣ</t>
  </si>
  <si>
    <t>mail@13nip-komot.rod.sch.gr</t>
  </si>
  <si>
    <t>Μ.Μ.ΑΝΘΙΜΟΥ 1</t>
  </si>
  <si>
    <t>ΔΗΜΟΤΙΚΟ ΣΧΟΛΕΙΟ ΡΟΔΙΤΗ</t>
  </si>
  <si>
    <t>mail@dim-rodit.rod.sch.gr</t>
  </si>
  <si>
    <t>ΡΟΔΙΤΗΣ</t>
  </si>
  <si>
    <t>ΡΟΔΙΤΗΣ  ΚΟΜΟΤΗΝΗΣ</t>
  </si>
  <si>
    <t>14ο ΝΗΠΙΑΓΩΓΕΙΟ ΚΟΜΟΤΗΝΗΣ</t>
  </si>
  <si>
    <t>mail@14nip-komot.rod.sch.gr</t>
  </si>
  <si>
    <t>ΟΠΙΣΘΕΝ ΝΟΣΟΚΟΜΕΙΟΥ</t>
  </si>
  <si>
    <t>1ο ΔΗΜΟΤΙΚΟ ΣΧΟΛΕΙΟ ΚΟΜΟΤΗΝΗΣ</t>
  </si>
  <si>
    <t>mail@1dim-komot.rod.sch.gr</t>
  </si>
  <si>
    <t>Κομοτηνή ,</t>
  </si>
  <si>
    <t>ΣΟΦΟΥΛΗ   2</t>
  </si>
  <si>
    <t>ΝΗΠΙΑΓΩΓΕΙΟ ΠΑΣΣΟΥ</t>
  </si>
  <si>
    <t>mail@nip-passou.rod.sch.gr</t>
  </si>
  <si>
    <t>ΠΑΣΣΟΣ</t>
  </si>
  <si>
    <t>ΑΤΤΙΚΗΣ</t>
  </si>
  <si>
    <t>Π.Ε. Α΄ ΑΘΗΝΑΣ</t>
  </si>
  <si>
    <t>4ο ΝΗΠΙΑΓΩΓΕΙΟ ΖΩΓΡΑΦΟΥ</t>
  </si>
  <si>
    <t>mail@4nip-zograf.att.sch.gr</t>
  </si>
  <si>
    <t>ΖΩΓΡΑΦΟΥ</t>
  </si>
  <si>
    <t>Μ.ΑΛΕΞΑΝΔΡΟΥ ΚΑΙ ΚΟΡΥΤΣΑΣ</t>
  </si>
  <si>
    <t>3ο  ΔΗΜΟΤΙΚΟ ΣΧΟΛΕΙΟ ΒΥΡΩΝΑ</t>
  </si>
  <si>
    <t>mail@3dim-vyron.att.sch.gr</t>
  </si>
  <si>
    <t>ΒΥΡΩΝΟΣ</t>
  </si>
  <si>
    <t>ΒΥΡΩΝΑΣ</t>
  </si>
  <si>
    <t>ΜΕΣΟΛΟΓΓΙΟΥ ΚΑΙ ΕΡΥΘΡΑΙΑΣ</t>
  </si>
  <si>
    <t>103ο  ΔΗΜΟΤΙΚΟ ΣΧΟΛΕΙΟ ΑΘΗΝΩΝ</t>
  </si>
  <si>
    <t>mail@103dim-athin.att.sch.gr</t>
  </si>
  <si>
    <t>ΑΘΗΝΑΙΩΝ</t>
  </si>
  <si>
    <t>ΑΘΗΝΑ</t>
  </si>
  <si>
    <t>ΣΤΟΥΑΡΤ 21</t>
  </si>
  <si>
    <t>1ο ΝΗΠΙΑΓΩΓΕΙΟ ΚΑΙΣΑΡΙΑΝΗΣ</t>
  </si>
  <si>
    <t>mail@1nip-kaisar.att.sch.gr</t>
  </si>
  <si>
    <t>ΚΑΙΣΑΡΙΑΝΗΣ</t>
  </si>
  <si>
    <t>ΕΘΝ. ΑΝΤΙΣΤΑΣΗΣ 113</t>
  </si>
  <si>
    <t>3ο ΔΗΜΟΤΙΚΟ ΣΧΟΛΕΙΟ ΖΩΓΡΑΦΟΥ</t>
  </si>
  <si>
    <t>mail@3dim-zograf.att.sch.gr</t>
  </si>
  <si>
    <t>ΚΡΙΝΩΝ 28</t>
  </si>
  <si>
    <t>51ο ΔΗΜΟΤΙΚΟ ΣΧΟΛΕΙΟ ΑΘΗΝΩΝ</t>
  </si>
  <si>
    <t>mail@51dim-athin.att.sch.gr</t>
  </si>
  <si>
    <t>ΑΚΟΜΙΝΑΤΟΥ 40</t>
  </si>
  <si>
    <t>8ο ΝΗΠΙΑΓΩΓΕΙΟ ΒΥΡΩΝΑ</t>
  </si>
  <si>
    <t>mail@8nip-vyron.att.sch.gr</t>
  </si>
  <si>
    <t>ΒΥΡΩΝΑ</t>
  </si>
  <si>
    <t>ΚΩΝΣΤΑΝΤΙΛΙΕΡΗ ΚΑΙ ΕΡΥΘΡΑΙΑΣ</t>
  </si>
  <si>
    <t>2ο ΝΗΠΙΑΓΩΓΕΙΟ ΚΑΙΣΑΡΙΑΝΗΣ</t>
  </si>
  <si>
    <t>mail@2nip-kaisar.att.sch.gr</t>
  </si>
  <si>
    <t>ΕΘΝ. ΑΝΤΙΣΤΑΣΗΣ 118</t>
  </si>
  <si>
    <t>6ο ΝΗΠΙΑΓΩΓΕΙΟ ΚΑΙΣΑΡΙΑΝΗΣ</t>
  </si>
  <si>
    <t>mail@6nip-kaisar.att.sch.gr</t>
  </si>
  <si>
    <t>105ο ΔΗΜΟΤΙΚΟ ΣΧΟΛΕΙΟ ΑΘΗΝΩΝ</t>
  </si>
  <si>
    <t>mail@105dim-athin.att.sch.gr</t>
  </si>
  <si>
    <t>ΑΘΗΝΑ,</t>
  </si>
  <si>
    <t>ΧΟΡΜΟΠΟΥΛΟΥ 20</t>
  </si>
  <si>
    <t>7ο  ΝΗΠΙΑΓΩΓΕΙΟ ΖΩΓΡΑΦΟΥ</t>
  </si>
  <si>
    <t>mail@7nip-zograf.att.sch.gr</t>
  </si>
  <si>
    <t>ΚΡΙΝΩΝ 41</t>
  </si>
  <si>
    <t>4ο ΝΗΠΙΑΓΩΓΕΙΟ ΚΑΙΣΑΡΙΑΝΗΣ</t>
  </si>
  <si>
    <t>mail@4nip-kaisar.att.sch.gr</t>
  </si>
  <si>
    <t>ΚΑΙΣΑΡΙΑΝΗ</t>
  </si>
  <si>
    <t>ΗΡΩΣ ΚΩΝΣΤΑΝΤΟΠΟΥΛΟΥ &amp; ΝΑΥΠΑΚΤΙΑΣ</t>
  </si>
  <si>
    <t>115ο ΝΗΠΙΑΓΩΓΕΙΟ ΑΘΗΝΩΝ</t>
  </si>
  <si>
    <t>mail@115nip-athin.att.sch.gr</t>
  </si>
  <si>
    <t>ΑΘΗΝΩΝ</t>
  </si>
  <si>
    <t>ΖΗΝΟΔΩΡΟΥ ΚΑΙ ΙΦΙΓΕΝΕΙΑΣ 23</t>
  </si>
  <si>
    <t>5ο ΝΗΠΙΑΓΩΓΕΙΟ ΚΑΙΣΑΡΙΑΝΗΣ</t>
  </si>
  <si>
    <t>mail@5nip-kaisar.att.sch.gr</t>
  </si>
  <si>
    <t>ΗΡΩΣ ΚΩΝΣΤΑΝΤΟΠΟΥΛΟΥ 9</t>
  </si>
  <si>
    <t>11ο ΝΗΠΙΑΓΩΓΕΙΟ ΖΩΓΡΑΦΟΥ</t>
  </si>
  <si>
    <t>mail@11nip-zograf.att.sch.gr</t>
  </si>
  <si>
    <t>ΚΡΑΤΕΡΟΥ ΚΑΙ  ΑΛΚΑΙΟΥ  42</t>
  </si>
  <si>
    <t>32ο ΔΗΜΟΤΙΚΟ ΣΧΟΛΕΙΟ ΑΘΗΝΩΝ</t>
  </si>
  <si>
    <t>mail@32dim-athin.att.sch.gr</t>
  </si>
  <si>
    <t>ΑΡΙΣΤΟΤΕΛΟΥΣ 55</t>
  </si>
  <si>
    <t>13ο ΝΗΠΙΑΓΩΓΕΙΟ ΒΥΡΩΝΑ</t>
  </si>
  <si>
    <t>mail@13nip-vyron.att.sch.gr</t>
  </si>
  <si>
    <t>Μίνωος 1</t>
  </si>
  <si>
    <t>36ο ΔΗΜΟΤΙΚΟ ΣΧΟΛΕΙΟ ΑΘΗΝΩΝ</t>
  </si>
  <si>
    <t>mail@36dim-athin.att.sch.gr</t>
  </si>
  <si>
    <t>ΙΟΥΣΤΙΝΙΑΝΟΥ 30-34</t>
  </si>
  <si>
    <t>2ο ΔΗΜΟΤΙΚΟ ΣΧΟΛΕΙΟ ΚΑΙΣΑΡΙΑΝΗΣ</t>
  </si>
  <si>
    <t>2dimkais@sch.gr</t>
  </si>
  <si>
    <t>Καισαριανή,</t>
  </si>
  <si>
    <t>Ειρήνης 19</t>
  </si>
  <si>
    <t>5ο ΔΗΜΟΤΙΚΟ ΣΧΟΛΕΙΟ ΖΩΓΡΑΦΟΥ</t>
  </si>
  <si>
    <t>mail@5dim-zograf.att.sch.gr</t>
  </si>
  <si>
    <t>ΠΕΡΙΑΝΔΡΟΥ 27</t>
  </si>
  <si>
    <t>8ο ΝΗΠΙΑΓΩΓΕΙΟ ΗΛΙΟΥΠΟΛΗΣ</t>
  </si>
  <si>
    <t>mail@8nip-ilioup.att.sch.gr</t>
  </si>
  <si>
    <t>ΗΛΙΟΥΠΟΛΕΩΣ</t>
  </si>
  <si>
    <t>ΗΛΙΟΥΠΟΛΗ</t>
  </si>
  <si>
    <t>ΜΕΣΣΗΝΙΑΣ ΚΑΙ ΔΑΜΑΣΚΗΝΟΥ  1</t>
  </si>
  <si>
    <t>11ο ΝΗΠΙΑΓΩΓΕΙΟ ΗΛΙΟΥΠΟΛΗΣ</t>
  </si>
  <si>
    <t>mail@11nip-ilioup.att.sch.gr</t>
  </si>
  <si>
    <t>ΗΛΙΟΥΠΟΛΗΣ</t>
  </si>
  <si>
    <t>ΘΕΟΤΟΚΗ 2</t>
  </si>
  <si>
    <t>3ο ΝΗΠΙΑΓΩΓΕΙΟ ΖΩΓΡΑΦΟΥ</t>
  </si>
  <si>
    <t>mail@3nip-zograf.att.sch.gr</t>
  </si>
  <si>
    <t>ΜΑΚΡΥΓΙΑΝΝΗ 44Α κ ΙΟΚΑΣΤΗΣ</t>
  </si>
  <si>
    <t>20ο ΝΗΠΙΑΓΩΓΕΙΟ ΗΛΙΟΥΠΟΛΗΣ</t>
  </si>
  <si>
    <t>mail@20nip-ilioup.att.sch.gr</t>
  </si>
  <si>
    <t>ΠΑΠΑΜΑΥΡΟΥ  1</t>
  </si>
  <si>
    <t>59ο  ΔΗΜΟΤΙΚΟ ΣΧΟΛΕΙΟ ΑΘΗΝΩΝ</t>
  </si>
  <si>
    <t>mail@59dim-athin.att.sch.gr</t>
  </si>
  <si>
    <t>ΔΟΡΔΟΥ 41 ΚΑΙ ΑΜΦΙΑΡΑΟΥ</t>
  </si>
  <si>
    <t>15ο ΝΗΠΙΑΓΩΓΕΙΟ ΗΛΙΟΥΠΟΛΗΣ</t>
  </si>
  <si>
    <t>mail@15nip-ilioup.att.sch.gr</t>
  </si>
  <si>
    <t>ΘΡΑΚΗΣ ΚΑΙ ΑΛΙΜΟΥΝΤΟΣ</t>
  </si>
  <si>
    <t>6ο ΔΗΜΟΤΙΚΟ ΣΧΟΛΕΙΟ ΖΩΓΡΑΦΟΥ</t>
  </si>
  <si>
    <t>mail@6dim-zograf.att.sch.gr</t>
  </si>
  <si>
    <t>2ο ΝΗΠΙΑΓΩΓΕΙΟ ΥΜΗΤΤΟΥ</t>
  </si>
  <si>
    <t>mail@2nip-ymitt.att.sch.gr</t>
  </si>
  <si>
    <t>ΔΑΦΝΗΣ - ΥΜΗΤΤΟΥ</t>
  </si>
  <si>
    <t>ΥΜΗΤΤΟΣ</t>
  </si>
  <si>
    <t>ΔΟΡΥΛΑΙΟΥ 2</t>
  </si>
  <si>
    <t>7ο ΝΗΠΙΑΓΩΓΕΙΟ ΗΛΙΟΥΠΟΛΗΣ</t>
  </si>
  <si>
    <t>mail@7nip-ilioup.att.sch.gr</t>
  </si>
  <si>
    <t>ΒΑΚΧΟΥ ΚΑΙ ΗΡΑΚΛΕΟΥΣ 21</t>
  </si>
  <si>
    <t>102ο ΝΗΠΙΑΓΩΓΕΙΟ ΑΘΗΝΩΝ</t>
  </si>
  <si>
    <t>mail@102nip-athin.att.sch.gr</t>
  </si>
  <si>
    <t>ΑΙΓΙΟΥ 33 ΚΑΙ ΙΜΙΩΝ</t>
  </si>
  <si>
    <t>2ο ΔΗΜΟΤΙΚΟ ΣΧΟΛΕΙΟ ΖΩΓΡΑΦΟΥ</t>
  </si>
  <si>
    <t>mail@2dim-zograf.att.sch.gr</t>
  </si>
  <si>
    <t>ΕΥΝΟΜΙΑΣ 2</t>
  </si>
  <si>
    <t>4ο ΝΗΠΙΑΓΩΓΕΙΟ ΒΥΡΩΝΑ</t>
  </si>
  <si>
    <t>mail@4nip-vyron.att.sch.gr</t>
  </si>
  <si>
    <t>ΠΑΝΑΓΗ ΤΣΑΛΔΑΡΗ 48</t>
  </si>
  <si>
    <t>12ο ΝΗΠΙΑΓΩΓΕΙΟ ΒΥΡΩΝΑ</t>
  </si>
  <si>
    <t>mail@12nip-vyron.att.sch.gr</t>
  </si>
  <si>
    <t>ΗΠΕΙΡΟΥ 11</t>
  </si>
  <si>
    <t>4ο ΝΗΠΙΑΓΩΓΕΙΟ ΗΛΙΟΥΠΟΛΗΣ</t>
  </si>
  <si>
    <t>mail@4nip-ilioup.att.sch.gr</t>
  </si>
  <si>
    <t>ΓΡΙΒΑ 4</t>
  </si>
  <si>
    <t>137ο ΔΗΜΟΤΙΚΟ ΣΧΟΛΕΙΟ ΑΘΗΝΩΝ</t>
  </si>
  <si>
    <t>mail@137dim-athin.att.sch.gr</t>
  </si>
  <si>
    <t>ΑΛΚΙΦΡΟΝΟΣ 51-55</t>
  </si>
  <si>
    <t>149ο ΔΗΜΟΤΙΚΟ ΣΧΟΛΕΙΟ ΑΘΗΝΩΝ</t>
  </si>
  <si>
    <t>mail@149dim-athin.att.sch.gr</t>
  </si>
  <si>
    <t>Αθήνα,</t>
  </si>
  <si>
    <t>ΑΓΑΘΟΔΑΙΜΟΝΟΣ 41</t>
  </si>
  <si>
    <t>56ο  ΔΗΜΟΤΙΚΟ ΣΧΟΛΕΙΟ ΑΘΗΝΩΝ</t>
  </si>
  <si>
    <t>mail@56dim-athin.att.sch.gr</t>
  </si>
  <si>
    <t>ΤΙΜΑΙΟΥ 9</t>
  </si>
  <si>
    <t>5ο ΝΗΠΙΑΓΩΓΕΙΟ ΥΜΗΤΤΟΥ</t>
  </si>
  <si>
    <t>mail@5nip-ymitt.att.sch.gr</t>
  </si>
  <si>
    <t>ΔΕΡΒΕΝΑΚΙΩΝ 86 ΚΑΙ ΜΕΛΙΝΑΣ ΜΕΡΚΟΥΡΗ</t>
  </si>
  <si>
    <t>10ο ΝΗΠΙΑΓΩΓΕΙΟ ΒΥΡΩΝΑ</t>
  </si>
  <si>
    <t>mail@10nip-vyron.att.sch.gr</t>
  </si>
  <si>
    <t>ΤΑΤΑΟΥΛΩΝ ΚΑΙ ΒΥΖΑΝΤΙΟΥ 1</t>
  </si>
  <si>
    <t>6ο ΔΗΜΟΤΙΚΟ ΣΧΟΛΕΙΟ ΚΑΙΣΑΡΙΑΝΗΣ</t>
  </si>
  <si>
    <t>mail@6dim-kaisar.att.sch.gr</t>
  </si>
  <si>
    <t>ΗΡΩΣ ΚΩΝΣΤΑΝΤΟΠΟΥΛΟΥ 13Α1</t>
  </si>
  <si>
    <t>61ο ΔΗΜΟΤΙΚΟ ΣΧΟΛΕΙΟ ΑΘΗΝΩΝ</t>
  </si>
  <si>
    <t>mail@61dim-athin.att.sch.gr</t>
  </si>
  <si>
    <t>ΔΙΣΤΟΜΟΥ 67</t>
  </si>
  <si>
    <t>60ο  ΔΗΜΟΤΙΚΟ ΣΧΟΛΕΙΟ ΑΘΗΝΩΝ</t>
  </si>
  <si>
    <t>mail@60dim-athin.att.sch.gr</t>
  </si>
  <si>
    <t>ΑΙΜΟΝΟΣ ΚΑΙ ΤΗΛΕΦΑΝΟΥΣ</t>
  </si>
  <si>
    <t>4ο ΔΗΜΟΤΙΚΟ ΣΧΟΛΕΙΟ ΚΑΙΣΑΡΙΑΝΗΣ</t>
  </si>
  <si>
    <t>mail@4dim-kaisar.att.sch.gr</t>
  </si>
  <si>
    <t>Καισαριανή</t>
  </si>
  <si>
    <t>ΧΙΟΥ 3 ΚΑΙ ΜΑΝΩΛΙΔΗ</t>
  </si>
  <si>
    <t>57ο ΔΗΜΟΤΙΚΟ ΣΧΟΛΕΙΟ ΑΘΗΝΩΝ</t>
  </si>
  <si>
    <t>mail@57dim-athin.att.sch.gr</t>
  </si>
  <si>
    <t>77ο ΔΗΜΟΤΙΚΟ ΣΧΟΛΕΙΟ ΑΘΗΝΩΝ - ΜΕΛΙΝΑ ΜΕΡΚΟΥΡΗ</t>
  </si>
  <si>
    <t>mail@77dim-athin.att.sch.gr</t>
  </si>
  <si>
    <t>ΤΡΩΩΝ 18</t>
  </si>
  <si>
    <t>20ο ΔΗΜΟΤΙΚΟ ΣΧΟΛΕΙΟ ΗΛΙΟΥΠΟΛΗΣ - ΗΡΩ ΚΩΝΣΤΑΝΤΟΠΟΥΛΟΥ</t>
  </si>
  <si>
    <t>20dimili@sch.gr</t>
  </si>
  <si>
    <t>Ηλιούπολη</t>
  </si>
  <si>
    <t>ΑΓΑΜΕΜΝΟΝΟΣ 1</t>
  </si>
  <si>
    <t>46ο ΔΗΜΟΤΙΚΟ ΣΧΟΛΕΙΟ ΑΘΗΝΩΝ</t>
  </si>
  <si>
    <t>mail@46dim-athin.att.sch.gr</t>
  </si>
  <si>
    <t>Αθήνα</t>
  </si>
  <si>
    <t>ΚΕΑΣ 69</t>
  </si>
  <si>
    <t>138ο ΝΗΠΙΑΓΩΓΕΙΟ ΑΘΗΝΩΝ</t>
  </si>
  <si>
    <t>mail@138nip-athin.att.sch.gr</t>
  </si>
  <si>
    <t>ΣΟΥΚΑ ΚΑΙ ΧΟΡΜΟΠΟΥΛΟΥ 20</t>
  </si>
  <si>
    <t>19ο ΝΗΠΙΑΓΩΓΕΊΟ ΗΛΙΟΥΠΟΛΗΣ</t>
  </si>
  <si>
    <t>mail@19nip-ilioup.att.sch.gr</t>
  </si>
  <si>
    <t>ΑΡΙΣΤΑΡΧΟΥ ΚΑΙ ΠΟΛΥΚΛΕΙΤΟΥ</t>
  </si>
  <si>
    <t>12ο ΔΗΜΟΤΙΚΟ ΣΧΟΛΕΙΟ ΗΛΙΟΥΠΟΛΗΣ</t>
  </si>
  <si>
    <t>mail@12dim-ilioup.att.sch.gr</t>
  </si>
  <si>
    <t>ΦΑΝΑΡΙΩΤΩΝ 8-10</t>
  </si>
  <si>
    <t>34ο ΔΗΜΟΤΙΚΟ ΣΧΟΛΕΙΟ ΑΘΗΝΩΝ</t>
  </si>
  <si>
    <t>mail@34dim-athin.att.sch.gr</t>
  </si>
  <si>
    <t>ΧΑΛΚΟΜΑΤΑΔΩΝ 42</t>
  </si>
  <si>
    <t>85ο ΔΗΜΟΤΙΚΟ ΣΧΟΛΕΙΟ ΑΘΗΝΩΝ</t>
  </si>
  <si>
    <t>mail@85dim-athin.att.sch.gr</t>
  </si>
  <si>
    <t>ΣΠΥΡΟΥ ΠΑΤΣΗ 56</t>
  </si>
  <si>
    <t>70ο ΔΗΜΟΤΙΚΟ ΣΧΟΛΕΙΟ ΑΘΗΝΩΝ</t>
  </si>
  <si>
    <t>mail@70dim-athin.att.sch.gr</t>
  </si>
  <si>
    <t>ΚΑΛΛΙΣΠΕΡΗ 1</t>
  </si>
  <si>
    <t>3ο ΔΗΜΟΤΙΚΟ ΣΧΟΛΕΙΟ ΗΛΙΟΥΠΟΛΗΣ</t>
  </si>
  <si>
    <t>mail@3dim-ilioup.att.sch.gr</t>
  </si>
  <si>
    <t>ΚΙΘΑΙΡΩΝΟΣ 1 ΚΑΙ ΣΟΦΟΥΛΗ</t>
  </si>
  <si>
    <t>6ο ΔΗΜΟΤΙΚΟ ΣΧΟΛΕΙΟ ΗΛΙΟΥΠΟΛΗΣ</t>
  </si>
  <si>
    <t>mail@6dim-ilioup.att.sch.gr</t>
  </si>
  <si>
    <t>ΜΑΡΙΝΟΥ ΑΝΤΥΠΑ 34</t>
  </si>
  <si>
    <t>109ο ΔΗΜΟΤΙΚΟ ΣΧΟΛΕΙΟ ΑΘΗΝΩΝ "ΟΔΥΣΣΕΑΣ ΕΛΥΤΗΣ"</t>
  </si>
  <si>
    <t>mail@109dim-athin.att.sch.gr</t>
  </si>
  <si>
    <t>ΘΕΟΤΟΚΟΠΟΥΛΟΥ 50</t>
  </si>
  <si>
    <t>12ο ΔΗΜΟΤΙΚΟ ΣΧΟΛΕΙΟ ΑΘΗΝΩΝ</t>
  </si>
  <si>
    <t>mail@12dim-athin.att.sch.gr</t>
  </si>
  <si>
    <t>ΚΟΡΓΙΑΛΕΝΙΟΥ 2</t>
  </si>
  <si>
    <t>99ο ΝΗΠΙΑΓΩΓΕΙΟ ΑΘΗΝΩΝ</t>
  </si>
  <si>
    <t>mail@99nip-athin.att.sch.gr</t>
  </si>
  <si>
    <t>ΤΕΩ 56</t>
  </si>
  <si>
    <t>98ο ΝΗΠΙΑΓΩΓΕΙΟ ΑΘΗΝΩΝ</t>
  </si>
  <si>
    <t>mail@98nip-athin.att.sch.gr</t>
  </si>
  <si>
    <t>ΣΙΤΑΚΗ 62 ΚΑΙ Ι. ΦΩΚΑ</t>
  </si>
  <si>
    <t>42ο ΝΗΠΙΑΓΩΓΕΙΟ ΑΘΗΝΩΝ</t>
  </si>
  <si>
    <t>mail@42nip-athin.att.sch.gr</t>
  </si>
  <si>
    <t>2ο  ΔΗΜΟΤΙΚΟ ΣΧΟΛΕΙΟ Ν. ΧΑΛΚΗΔΟΝΑΣ</t>
  </si>
  <si>
    <t>mail@2dim-n-chalk.att.sch.gr</t>
  </si>
  <si>
    <t>ΝΕΑΣ ΦΙΛΑΔΕΛΦΕΙΑΣ - ΝΕΑΣ ΧΑΛΚΗΔΟΝAΣ</t>
  </si>
  <si>
    <t>Ν. ΧΑΛΚΗΔΟΝΑ</t>
  </si>
  <si>
    <t>Αχαρνών 464</t>
  </si>
  <si>
    <t>79ο ΔΗΜΟΤΙΚΟ ΣΧΟΛΕΙΟ ΑΘΗΝΩΝ</t>
  </si>
  <si>
    <t>mail@79dim-athin.att.sch.gr</t>
  </si>
  <si>
    <t>ΕΥΓΕΝΙΟΥ ΚΑΡΑΒΙΑ 9</t>
  </si>
  <si>
    <t>2ο ΔΗΜΟΤΙΚΟ ΣΧΟΛΕΙΟ ΗΛΙΟΥΠΟΛΗΣ</t>
  </si>
  <si>
    <t>mail@2dim-ilioup.att.sch.gr</t>
  </si>
  <si>
    <t>ΠΟΥΣΟΥΛΙΔΟΥ 10</t>
  </si>
  <si>
    <t>9ο ΝΗΠΙΑΓΩΓΕΙΟ ΗΛΙΟΥΠΟΛΗΣ</t>
  </si>
  <si>
    <t>mail@9nip-ilioup.att.sch.gr</t>
  </si>
  <si>
    <t>ΧΕΛΜΟΥ 1</t>
  </si>
  <si>
    <t>7ο  ΔΗΜΟΤΙΚΟ ΣΧΟΛΕΙΟ ΒΥΡΩΝΑ</t>
  </si>
  <si>
    <t>mail@7dim-vyron.att.sch.gr</t>
  </si>
  <si>
    <t>ΣΩΚΙΩΝ 38</t>
  </si>
  <si>
    <t>17ο  ΔΗΜΟΤΙΚΟ ΣΧΟΛΕΙΟ ΑΘΗΝΩΝ</t>
  </si>
  <si>
    <t>mail@17dim-athin.att.sch.gr</t>
  </si>
  <si>
    <t>ΑΜΠΕΛΑΚΙΩΝ 24</t>
  </si>
  <si>
    <t>15ο ΔΗΜΟΤΙΚΟ ΣΧΟΛΕΙΟ ΗΛΙΟΥΠΟΛΗΣ</t>
  </si>
  <si>
    <t>15dimilioup@sch.gr</t>
  </si>
  <si>
    <t>3ο  ΝΗΠΙΑΓΩΓΕΙΟ ΚΑΙΣΑΡΙΑΝΗΣ</t>
  </si>
  <si>
    <t>mail@3nip-kaisar.att.sch.gr</t>
  </si>
  <si>
    <t>ΔΕΡΒΕΝΑΚΙΩΝ 2</t>
  </si>
  <si>
    <t>78ο ΝΗΠΙΑΓΩΓΕΙΟ ΑΘΗΝΑΣ</t>
  </si>
  <si>
    <t>mail@78nip-athin.att.sch.gr</t>
  </si>
  <si>
    <t>ΕΚΑΤΑΙΟΥ 80</t>
  </si>
  <si>
    <t>8ο ΝΗΠΙΑΓΩΓΕΙΟ ΖΩΓΡΑΦΟΥ</t>
  </si>
  <si>
    <t>mail@8nip-zograf.att.sch.gr</t>
  </si>
  <si>
    <t>28ης Οκτωβρίου 6 και Ιοκάστης</t>
  </si>
  <si>
    <t>1ο ΔΗΜΟΤΙΚΟ ΣΧΟΛΕΙΟ ΒΥΡΩΝΑ</t>
  </si>
  <si>
    <t>mail@1dim-vyron.att.sch.gr</t>
  </si>
  <si>
    <t>113ο  ΔΗΜΟΤΙΚΟ ΣΧΟΛΕΙΟ ΑΘΗΝΩΝ</t>
  </si>
  <si>
    <t>mail@113dim-athin.att.sch.gr</t>
  </si>
  <si>
    <t>ΣΙΤΑΚΗΣ 64</t>
  </si>
  <si>
    <t>17ο ΝΗΠΙΑΓΩΓΕΙΟ ΖΩΓΡΑΦΟΥ</t>
  </si>
  <si>
    <t>mail@17nip-zograf.att.sch.gr</t>
  </si>
  <si>
    <t>11ο ΔΗΜΟΤΙΚΟ ΣΧΟΛΕΙΟ ΓΑΛΑΤΣΙΟΥ</t>
  </si>
  <si>
    <t>mail@11dim-galats.att.sch.gr</t>
  </si>
  <si>
    <t>ΓΑΛΑΤΣΙΟΥ</t>
  </si>
  <si>
    <t>ΓΑΛΑΤΣΙ</t>
  </si>
  <si>
    <t>ΚΥΜΟΘΟΗΣ 16</t>
  </si>
  <si>
    <t>89ο ΝΗΠΙΑΓΩΓΕΙΟ ΑΘΗΝΩΝ</t>
  </si>
  <si>
    <t>mail@89nip-athin.att.sch.gr</t>
  </si>
  <si>
    <t>ΣΜΟΛΙΚΑ ΚΑΙ ΚΑΡΑΓΙΑΝΝΗ 2</t>
  </si>
  <si>
    <t>60ο ΝΗΠΙΑΓΩΓΕΙΟ ΑΘΗΝΩΝ</t>
  </si>
  <si>
    <t>mail@60nip-athin.att.sch.gr</t>
  </si>
  <si>
    <t>ΒΟΡΕΙΟΥ ΗΠΕΙΡΟΥ 81</t>
  </si>
  <si>
    <t>1ο ΔΗΜΟΤΙΚΟ ΣΧΟΛΕΙΟ ΖΩΓΡΑΦΟΥ</t>
  </si>
  <si>
    <t>mail@1dim-zograf.att.sch.gr</t>
  </si>
  <si>
    <t>ΗΡ. ΠΟΛΥΤΕΧΝΕΙΟΥ  1</t>
  </si>
  <si>
    <t>4ο  ΔΗΜΟΤΙΚΟ ΣΧΟΛΕΙΟ ΖΩΓΡΑΦΟΥ</t>
  </si>
  <si>
    <t>mail@4dim-zograf.att.sch.gr</t>
  </si>
  <si>
    <t>Μ. ΑΛΕΞΑΝΔΡΟΥ ΚΑΙ ΚΟΡΥΤΣΑΣ</t>
  </si>
  <si>
    <t>4ο ΔΗΜΟΤΙΚΟ ΣΧΟΛΕΙΟ ΗΛΙΟΥΠΟΛΗΣ</t>
  </si>
  <si>
    <t>mail@4dim-ilioup.att.sch.gr</t>
  </si>
  <si>
    <t>ΣΟΦΟΚΛΗ ΒΕΝΙΖΕΛΟΥ 83</t>
  </si>
  <si>
    <t>10ο ΝΗΠΙΑΓΩΓΕΙΟ ΗΛΙΟΥΠΟΛΗΣ</t>
  </si>
  <si>
    <t>mail@10nip-ilioup.att.sch.gr</t>
  </si>
  <si>
    <t>ΚΟΤΖΙΑ 25</t>
  </si>
  <si>
    <t>5ο ΝΗΠΙΑΓΩΓΕΙΟ ΔΑΦΝΗΣ</t>
  </si>
  <si>
    <t>mail@5nip-dafnis.att.sch.gr</t>
  </si>
  <si>
    <t>ΔΑΦΝΗ</t>
  </si>
  <si>
    <t>ΔΗΛΟΥ 30-32</t>
  </si>
  <si>
    <t>88ο ΔΗΜΟΤΙΚΟ ΣΧΟΛΕΙΟ ΑΘΗΝΩΝ</t>
  </si>
  <si>
    <t>mail@88dim-athin.att.sch.gr</t>
  </si>
  <si>
    <t>52ο ΔΗΜΟΤΙΚΟ ΣΧΟΛΕΙΟ ΑΘΗΝΩΝ</t>
  </si>
  <si>
    <t>mail@52dim-athin.att.sch.gr</t>
  </si>
  <si>
    <t>ΛΙΟΣΙΩΝ 195</t>
  </si>
  <si>
    <t>67ο  ΔΗΜΟΤΙΚΟ ΣΧΟΛΕΙΟ ΑΘΗΝΩΝ</t>
  </si>
  <si>
    <t>mail@67dim-athin.att.sch.gr</t>
  </si>
  <si>
    <t>ΣΥΡΡΑΚΟΥ 2</t>
  </si>
  <si>
    <t>19ο ΔΗΜΟΤΙΚΟ ΣΧΟΛΕΙΟ ΖΩΓΡΑΦΟΥ</t>
  </si>
  <si>
    <t>mail@19dim-zograf.att.sch.gr</t>
  </si>
  <si>
    <t>ΗΡΩΩΝ ΠΟΛΥΤΕΧΝΕΙΟΥ 1</t>
  </si>
  <si>
    <t>143ο  ΝΗΠΙΑΓΩΓΕΙΟ ΑΘΗΝΩΝ</t>
  </si>
  <si>
    <t>mail@143nip-athin.att.sch.gr</t>
  </si>
  <si>
    <t>ΓΕΩΡΓΟΥΛΙΑ ΚΑΙ ΩΡΩΠΟΥ</t>
  </si>
  <si>
    <t>8ο  ΔΗΜΟΤΙΚΟ ΣΧΟΛΕΙΟ ΗΛΙΟΥΠΟΛΗΣ</t>
  </si>
  <si>
    <t>mail@8dim-ilioup.att.sch.gr</t>
  </si>
  <si>
    <t>ΜΕΣΣΗΝΙΑΣ ΚΑΙ ΚΕΦΑΛΛΗΝΙΑΣ</t>
  </si>
  <si>
    <t>18ο ΔΗΜΟΤΙΚΟ ΣΧΟΛΕΙΟ ΑΘΗΝΩΝ</t>
  </si>
  <si>
    <t>mail@18dim-athin.att.sch.gr</t>
  </si>
  <si>
    <t>ΑΘΗΝA</t>
  </si>
  <si>
    <t>ΑΧΑΙΑΣ 3</t>
  </si>
  <si>
    <t>145ο ΔΗΜΟΤΙΚΟ ΣΧΟΛΕΙΟ ΑΘΗΝΩΝ</t>
  </si>
  <si>
    <t>mail@145dim-athin.att.sch.gr</t>
  </si>
  <si>
    <t>ΝΙΚΗΦΟΡΟΥ ΓΡΗΓΟΡΑ 5</t>
  </si>
  <si>
    <t>125ο ΝΗΠΙΑΓΩΓΕΙΟ ΑΘΗΝΩΝ</t>
  </si>
  <si>
    <t>mail@125nip-athin.att.sch.gr</t>
  </si>
  <si>
    <t>ΑΛΕΞΑΝΔΡΕΙΑΣ 2</t>
  </si>
  <si>
    <t>39ο ΝΗΠΙΑΓΩΓΕΙΟ ΑΘΗΝΩΝ</t>
  </si>
  <si>
    <t>mail@39nip-athin.att.sch.gr</t>
  </si>
  <si>
    <t>82ο ΝΗΠΙΑΓΩΓΕΙΟ ΑΘΗΝΩΝ</t>
  </si>
  <si>
    <t>mail@82nip-athin.att.sch.gr</t>
  </si>
  <si>
    <t>104ο  ΝΗΠΙΑΓΩΓΕΙΟ ΑΘΗΝΩΝ</t>
  </si>
  <si>
    <t>mail@104nip-athin.att.sch.gr</t>
  </si>
  <si>
    <t>87ο ΠΕΙΡΑΜΑΤΙΚΟ ΔΙΑΠΟΛΙΤΙΣΜΙΚΟ ΔΗΜΟΤΙΚΟ ΣΧΟΛΕΙΟ ΑΘΗΝΩΝ</t>
  </si>
  <si>
    <t>mail@87dim-athin.att.sch.gr</t>
  </si>
  <si>
    <t>ΟΡΦΕΩΣ 58</t>
  </si>
  <si>
    <t>31ο ΔΗΜΟΤΙΚΟ ΣΧΟΛΕΙΟ ΑΘΗΝΩΝ</t>
  </si>
  <si>
    <t>mail@31dim-athin.att.sch.gr</t>
  </si>
  <si>
    <t>Ζερβουδάκη 50</t>
  </si>
  <si>
    <t>8ο  ΝΗΠΙΑΓΩΓΕΙΟ ΑΘΗΝΩΝ</t>
  </si>
  <si>
    <t>mail@8nip-athin.att.sch.gr</t>
  </si>
  <si>
    <t>ΔΑΜΑΡΕΩΣ 65</t>
  </si>
  <si>
    <t>9ο ΔΗΜΟΤΙΚΟ ΣΧΟΛΕΙΟ ΗΛΙΟΥΠΟΛΗΣ</t>
  </si>
  <si>
    <t>mail@9dim-ilioup.att.sch.gr</t>
  </si>
  <si>
    <t>ΙΟΝΙΩΝ ΝΗΣΩΝ 35</t>
  </si>
  <si>
    <t>76ο  ΔΗΜΟΤΙΚΟ ΣΧΟΛΕΙΟ ΑΘΗΝΩΝ</t>
  </si>
  <si>
    <t>mail@76dim-athin.att.sch.gr</t>
  </si>
  <si>
    <t>ΚΥΚΛΩΠΩΝ 6</t>
  </si>
  <si>
    <t>107ο ΔΗΜΟΤΙΚΟ ΣΧΟΛΕΙΟ ΑΘΗΝΩΝ</t>
  </si>
  <si>
    <t>mail@107dim-athin.att.sch.gr</t>
  </si>
  <si>
    <t>ΘΕΟΛΟΓΟΥ ΙΩΑΝΝΙΔΗ 9</t>
  </si>
  <si>
    <t>6ο ΔΗΜΟΤΙΚΟ ΣΧΟΛΕΙΟ ΒΥΡΩΝΑ</t>
  </si>
  <si>
    <t>mail@6dim-vyron.att.sch.gr</t>
  </si>
  <si>
    <t>ΑΔΑΝΩΝ 3</t>
  </si>
  <si>
    <t>30ο  ΝΗΠΙΑΓΩΓΕΙΟ ΑΘΗΝΩΝ</t>
  </si>
  <si>
    <t>mail@30nip-athin.att.sch.gr</t>
  </si>
  <si>
    <t>ΤΡΑΛΛΕΩΝ ΚΑΙ ΩΡΩΠΟΥ</t>
  </si>
  <si>
    <t>113ο ΝΗΠΙΑΓΩΓΕΙΟ ΑΘΗΝΩΝ</t>
  </si>
  <si>
    <t>mail@113nip-athin.att.sch.gr</t>
  </si>
  <si>
    <t>ΤΑΥΓΕΤΟΥ 60</t>
  </si>
  <si>
    <t>1ο ΔΗΜΟΤΙΚΟ ΣΧΟΛΕΙΟ ΚΑΙΣΑΡΙΑΝΗΣ</t>
  </si>
  <si>
    <t>mail@1dim-kaisar.att.sch.gr</t>
  </si>
  <si>
    <t>ΕΘΝΙΚΗΣ ΑΝΤΙΣΤΑΣΗΣ 113</t>
  </si>
  <si>
    <t>74ο ΝΗΠΙΑΓΩΓΕΙΟ ΑΘΗΝΩΝ</t>
  </si>
  <si>
    <t>mail@74nip-athin.att.sch.gr</t>
  </si>
  <si>
    <t>ΣΑΡΑΝΤΑΠΟΡΟΥ 20</t>
  </si>
  <si>
    <t>36ο ΝΗΠΙΑΓΩΓΕΙΟ ΑΘΗΝΩΝ</t>
  </si>
  <si>
    <t>mail@36nip-athin.att.sch.gr</t>
  </si>
  <si>
    <t>ΜΠΑΜΠΗ ΑΝΝΙΝΟΥ 18</t>
  </si>
  <si>
    <t>6ο  ΔΗΜΟΤΙΚΟ ΣΧΟΛΕΙΟ ΔΑΦΝΗΣ</t>
  </si>
  <si>
    <t>mail@6dim-dafnis.att.sch.gr</t>
  </si>
  <si>
    <t>ΓΥΜΝΑΣΤΗΡΙΟΥ 64</t>
  </si>
  <si>
    <t>64ο ΔΗΜΟΤΙΚΟ ΣΧΟΛΕΙΟ ΑΘΗΝΩΝ</t>
  </si>
  <si>
    <t>mail@64dim-athin.att.sch.gr</t>
  </si>
  <si>
    <t>ΜΕΓΑΛΟΥ ΑΛΕΞΑΝΔΡΟΥ 63</t>
  </si>
  <si>
    <t>11ο ΝΗΠΙΑΓΩΓΕΙΟ ΒΥΡΩΝΑ</t>
  </si>
  <si>
    <t>mail@11nip-vyron.att.sch.gr</t>
  </si>
  <si>
    <t>2ο ΔΗΜΟΤΙΚΟ ΣΧΟΛΕΙΟ ΥΜΗΤΤΟΥ</t>
  </si>
  <si>
    <t>mail@2dim-ymitt.att.sch.gr</t>
  </si>
  <si>
    <t>ΔΟΡΥΛΑΙΟΥ 2-4</t>
  </si>
  <si>
    <t>33ο ΔΗΜΟΤΙΚΟ ΣΧΟΛΕΙΟ ΑΘΗΝΩΝ</t>
  </si>
  <si>
    <t>mail@33dim-athin.att.sch.gr</t>
  </si>
  <si>
    <t>ΕΥΑΓΡΙΟΥ ΚΑΙ ΚΡΟΥΣΙΟΥ</t>
  </si>
  <si>
    <t>16ο ΝΗΠΙΑΓΩΓΕΙΟ ΗΛΙΟΥΠΟΛΗΣ</t>
  </si>
  <si>
    <t>mail@16nip-ilioup.att.sch.gr</t>
  </si>
  <si>
    <t>ΑΓΑΜΕΜΝΩΝΟΣ 1</t>
  </si>
  <si>
    <t>1ο ΔΗΜΟΤΙΚΟ ΣΧΟΛΕΙΟ Ν. ΦΙΛΑΔΕΛΦΕΙΑΣ ΣΠΑΘΑΡΗ</t>
  </si>
  <si>
    <t>mail@1dim-n-filad.att.sch.gr</t>
  </si>
  <si>
    <t>ΝΕΑ ΦΙΛΑΔΕΛΦΕΙΑ</t>
  </si>
  <si>
    <t>ΕΠΤΑΛΟΦΟΥ 10</t>
  </si>
  <si>
    <t>117ο ΔΗΜΟΤΙΚΟ ΣΧΟΛΕΙΟ ΑΘΗΝΩΝ</t>
  </si>
  <si>
    <t>mail@117dim-athin.att.sch.gr</t>
  </si>
  <si>
    <t>ΜΑΧΗΣ ΑΝΑΛΑΤΟΥ 70 &amp; ΚΡΙΝΑΓΟΡΟΥ 17</t>
  </si>
  <si>
    <t>2ο  ΝΗΠΙΑΓΩΓΕΙΟ ΑΘΗΝΩΝ</t>
  </si>
  <si>
    <t>mail@2nip-athin.att.sch.gr</t>
  </si>
  <si>
    <t>ΧΑΛΚΟΜΑΤΑΔΩΝ  &amp; ΙΣΤΡΙΑΣ</t>
  </si>
  <si>
    <t>81ο  ΔΗΜΟΤΙΚΟ ΣΧΟΛΕΙΟ ΑΘΗΝΩΝ</t>
  </si>
  <si>
    <t>mail@81dim-athin.att.sch.gr</t>
  </si>
  <si>
    <t>ΣΚΑΜΒΩΝΙΔΩΝ 46</t>
  </si>
  <si>
    <t>13ο ΔΗΜΟΤΙΚΟ ΣΧΟΛΕΙΟ ΗΛΙΟΥΠΟΛΗΣ</t>
  </si>
  <si>
    <t>mail@13dim-ilioup.att.sch.gr</t>
  </si>
  <si>
    <t>ΗΡΩΣ ΚΩΝΣΤΑΝΤΟΠΟΥΛΟΥ ΚΑΙ ΘΑΛΕΙΑΣ ΛΟΥΚΙΔΟΥ 3</t>
  </si>
  <si>
    <t>11ο ΔΗΜΟΤΙΚΟ ΣΧΟΛΕΙΟ ΗΛΙΟΥΠΟΛΗΣ</t>
  </si>
  <si>
    <t>mail@11dim-ilioup.att.sch.gr</t>
  </si>
  <si>
    <t>ΚΟΤΖΙΑ ΚΑΙ ΣΤΟΥΡΝΑΡΑ 1</t>
  </si>
  <si>
    <t>66ο ΔΗΜΟΤΙΚΟ ΣΧΟΛΕΙΟ ΑΘΗΝΩΝ</t>
  </si>
  <si>
    <t>mail@66dim-athin.att.sch.gr</t>
  </si>
  <si>
    <t>ΑΛΑΜΑΝΑΣ 6</t>
  </si>
  <si>
    <t>3ο  ΔΗΜΟΤΙΚΟ ΣΧΟΛΕΙΟ Ν. ΦΙΛΑΔΕΛΦΕΙΑΣ</t>
  </si>
  <si>
    <t>mail@3dim-n-filad.att.sch.gr</t>
  </si>
  <si>
    <t>Ν. ΦΙΛΑΔΕΛΦΕΙΑ</t>
  </si>
  <si>
    <t>ΓΡΑΜΜΟΥ 2</t>
  </si>
  <si>
    <t>97ο  ΝΗΠΙΑΓΩΓΕΙΟ ΑΘΗΝΩΝ</t>
  </si>
  <si>
    <t>mail@97nip-athin.att.sch.gr</t>
  </si>
  <si>
    <t>ΑΧΑΡΝΩΝ 399</t>
  </si>
  <si>
    <t>7ο ΝΗΠΙΑΓΩΓΕΙΟ ΑΘΗΝΩΝ</t>
  </si>
  <si>
    <t>mail@7nip-athin.att.sch.gr</t>
  </si>
  <si>
    <t>ΕΜΠΕΔΟΚΛΕΟΥΣ 12</t>
  </si>
  <si>
    <t>62ο ΔΗΜΟΤΙΚΟ ΣΧΟΛΕΙΟ ΑΘΗΝΩΝ</t>
  </si>
  <si>
    <t>mail@62dim-athin.att.sch.gr</t>
  </si>
  <si>
    <t>ΣΜΟΛΙΚΑ 2 ΚΑΙ ΠΛ. ΛΕΛΑΣ ΚΑΡΑΓΙΑΝΝΗ 11</t>
  </si>
  <si>
    <t>30ο ΔΗΜΟΤΙΚΟ ΣΧΟΛΕΙΟ ΑΘΗΝΩΝ</t>
  </si>
  <si>
    <t>mail@30dim-athin.att.sch.gr</t>
  </si>
  <si>
    <t>ΧΙΛΙΑΝΔΑΡΙΟΥ 2</t>
  </si>
  <si>
    <t>1ο  ΔΗΜΟΤΙΚΟ ΣΧΟΛΕΙΟ ΗΛΙΟΥΠΟΛΗΣ</t>
  </si>
  <si>
    <t>mail@1dim-ilioup.att.sch.gr</t>
  </si>
  <si>
    <t>ΦΛΕΜΙΝΓΚ 1</t>
  </si>
  <si>
    <t>174ο ΔΗΜΟΤΙΚΟ ΣΧΟΛΕΙΟ ΑΘΗΝΩΝ</t>
  </si>
  <si>
    <t>mail@174dim-athin.att.sch.gr</t>
  </si>
  <si>
    <t>ΠΑΝΔΟΣΙΑΣ 2</t>
  </si>
  <si>
    <t>130ο  ΔΗΜΟΤΙΚΟ ΣΧΟΛΕΙΟ ΑΘΗΝΩΝ</t>
  </si>
  <si>
    <t>mail@130dim-athin.att.sch.gr</t>
  </si>
  <si>
    <t>ΠΡΕΤΕΝΤΕΡΗ 20</t>
  </si>
  <si>
    <t>17ο  ΔΗΜΟΤΙΚΟ ΣΧΟΛΕΙΟ ΗΛΙΟΥΠΟΛΗΣ</t>
  </si>
  <si>
    <t>mail@17dim-ilioup.att.sch.gr</t>
  </si>
  <si>
    <t>58ο  ΔΗΜΟΤΙΚΟ ΣΧΟΛΕΙΟ ΑΘΗΝΩΝ</t>
  </si>
  <si>
    <t>mail@58dim-athin.att.sch.gr</t>
  </si>
  <si>
    <t>ΛΕΝΟΡΜΑΝ 268</t>
  </si>
  <si>
    <t>69ο ΔΗΜΟΤΙΚΟ ΣΧΟΛΕΙΟ ΑΘΗΝΩΝ</t>
  </si>
  <si>
    <t>mail@69dim-athin.att.sch.gr</t>
  </si>
  <si>
    <t>ΤΕΡΤΙΠΗ 42</t>
  </si>
  <si>
    <t>11ο ΔΗΜΟΤΙΚΟ ΣΧΟΛΕΙΟ ΒΥΡΩΝΑ</t>
  </si>
  <si>
    <t>mail@11dim-vyron.att.sch.gr</t>
  </si>
  <si>
    <t>Βύρωνας</t>
  </si>
  <si>
    <t>ΒΥΖΑΝΤΙΟΥ ΚΑΙ ΤΑΤΑΟΥΛΩΝ 1</t>
  </si>
  <si>
    <t>170ο ΔΗΜΟΤΙΚΟ ΣΧΟΛΕΙΟ ΑΘΗΝΩΝ</t>
  </si>
  <si>
    <t>mail@170dim-athin.att.sch.gr</t>
  </si>
  <si>
    <t>ΘΗΡΑΣ 110</t>
  </si>
  <si>
    <t>86ο ΔΗΜΟΤΙΚΟ ΣΧΟΛΕΙΟ ΑΘΗΝΩΝ</t>
  </si>
  <si>
    <t>mail@86dim-athin.att.sch.gr</t>
  </si>
  <si>
    <t>ΑΙΓΙΝΗΣ 61</t>
  </si>
  <si>
    <t>9ο ΝΗΠΙΑΓΩΓΕΙΟ ΑΘΗΝΩΝ</t>
  </si>
  <si>
    <t>mail@9nip-athin.att.sch.gr</t>
  </si>
  <si>
    <t>ΓΕΝΝΑΙΟΥ ΚΟΛΟΚΟΤΡΩΝΗ 25</t>
  </si>
  <si>
    <t>48ο ΔΗΜΟΤΙΚΟ ΣΧΟΛΕΙΟ ΑΘΗΝΩΝ</t>
  </si>
  <si>
    <t>mail@48dim-athin.att.sch.gr</t>
  </si>
  <si>
    <t>ΑΙΛΙΑΝΟΥ 10Α</t>
  </si>
  <si>
    <t>13ο   ΝΗΠΙΑΓΩΓΕΙΟ ΑΘΗΝΩΝ</t>
  </si>
  <si>
    <t>mail@13nip-athin.att.sch.gr</t>
  </si>
  <si>
    <t>ΕΥΦΡΟΝΙΟΥ 81 &amp; ΜΠΙΓΛΙΣΤΑΣ 1</t>
  </si>
  <si>
    <t>8ο  ΔΗΜΟΤΙΚΟ ΣΧΟΛΕΙΟ ΖΩΓΡΑΦΟΥ</t>
  </si>
  <si>
    <t>mail@8dim-zograf.att.sch.gr</t>
  </si>
  <si>
    <t>ΜΑΚΡΥΓΙΑΝΝΗ 44A -ΙΟΚΑΣΤΗΣ</t>
  </si>
  <si>
    <t>1ο  ΝΗΠΙΑΓΩΓΕΙΟ ΒΥΡΩΝΑ</t>
  </si>
  <si>
    <t>mail@1nip-vyron.att.sch.gr</t>
  </si>
  <si>
    <t>6ο ΝΗΠΙΑΓΩΓΕΙΟ ΓΑΛΑΤΣΙΟΥ</t>
  </si>
  <si>
    <t>mail@6nip-galats.att.sch.gr</t>
  </si>
  <si>
    <t>ΖΑΛΟΓΓΟΥ 11</t>
  </si>
  <si>
    <t>25ο ΔΗΜΟΤΙΚΟ ΣΧΟΛΕΙΟ ΑΘΗΝΩΝ</t>
  </si>
  <si>
    <t>mail@25dim-athin.att.sch.gr</t>
  </si>
  <si>
    <t>49ο  ΝΗΠΙΑΓΩΓΕΙΟ ΑΘΗΝΩΝ</t>
  </si>
  <si>
    <t>mail@49nip-athin.att.sch.gr</t>
  </si>
  <si>
    <t>ΑΛΙΜΟΥΣΙΩΝ 28</t>
  </si>
  <si>
    <t>11ο ΔΗΜΟΤΙΚΟ ΣΧΟΛΕΙΟ ΑΘΗΝΩΝ</t>
  </si>
  <si>
    <t>mail@11dim-athin.att.sch.gr</t>
  </si>
  <si>
    <t>Μ. ΚΟΡΑΚΑ 44</t>
  </si>
  <si>
    <t>4ο  ΔΗΜΟΤΙΚΟ ΣΧΟΛΕΙΟ ΒΥΡΩΝΑ</t>
  </si>
  <si>
    <t>mail@4dim-vyron.att.sch.gr</t>
  </si>
  <si>
    <t>ΕΛΛΗΝΩΝ ΑΞΙΩΜΑΤΙΚΩΝ 8</t>
  </si>
  <si>
    <t>11ο ΝΗΠΙΑΓΩΓΕΙΟ ΓΑΛΑΤΣΙΟΥ</t>
  </si>
  <si>
    <t>mail@11nip-galats.att.sch.gr</t>
  </si>
  <si>
    <t>ΑΓΙΑΣ ΕΙΡΗΝΗΣ 5</t>
  </si>
  <si>
    <t>47ο ΝΗΠΙΑΓΩΓΕΙΟ ΑΘΗΝΩΝ</t>
  </si>
  <si>
    <t>mail@47nip-athin.att.sch.gr</t>
  </si>
  <si>
    <t>8ο ΝΗΠΙΑΓΩΓΕΙΟ ΓΑΛΑΤΣΙΟΥ</t>
  </si>
  <si>
    <t>mail@8nip-galats.att.sch.gr</t>
  </si>
  <si>
    <t>ΦΙΓΑΛΕΙΑΣ 67</t>
  </si>
  <si>
    <t>5ο ΝΗΠΙΑΓΩΓΕΙΟ ΒΥΡΩΝΑ</t>
  </si>
  <si>
    <t>mail@5nip-vyron.att.sch.gr</t>
  </si>
  <si>
    <t>134ο ΝΗΠΙΑΓΩΓΕΙΟ ΑΘΗΝΩΝ</t>
  </si>
  <si>
    <t>mail@134nip-athin.att.sch.gr</t>
  </si>
  <si>
    <t>13ο ΝΗΠΙΑΓΩΓΕΙΟ ΓΑΛΑΤΣΙΟΥ</t>
  </si>
  <si>
    <t>mail@13nip-galats.att.sch.gr</t>
  </si>
  <si>
    <t>ΔΡΥΟΠΙΔΟΣ  9</t>
  </si>
  <si>
    <t>1ο ΝΗΠΙΑΓΩΓΕΙΟ ΓΑΛΑΤΣΙΟΥ</t>
  </si>
  <si>
    <t>mail@1nip-galats.att.sch.gr</t>
  </si>
  <si>
    <t>ΜΙΑΟΥΛΗ  3</t>
  </si>
  <si>
    <t>79ο  ΝΗΠΙΑΓΩΓΕΙΟ ΑΘΗΝΩΝ</t>
  </si>
  <si>
    <t>mail@79nip-athin.att.sch.gr</t>
  </si>
  <si>
    <t>ΓΡΗΓΟΡΑ 5-7</t>
  </si>
  <si>
    <t>2ο ΝΗΠΙΑΓΩΓΕΙΟ ΓΑΛΑΤΣΙΟΥ</t>
  </si>
  <si>
    <t>mail@2nip-galats.att.sch.gr</t>
  </si>
  <si>
    <t>ΔΡΥΟΠΙΔΟΣ 9</t>
  </si>
  <si>
    <t>4ο ΔΗΜΟΤΙΚΟ ΣΧΟΛΕΙΟ ΓΑΛΑΤΣΙΟΥ</t>
  </si>
  <si>
    <t>mail@4dim-galats.att.sch.gr</t>
  </si>
  <si>
    <t>ΠΡΩΤΟΠΑΠΑΔΑΚΗ 8</t>
  </si>
  <si>
    <t>9ο ΝΗΠΙΑΓΩΓΕΙΟ ΒΥΡΩΝΑ</t>
  </si>
  <si>
    <t>mail@9nip-vyron.att.sch.gr</t>
  </si>
  <si>
    <t>3ο ΝΗΠΙΑΓΩΓΕΙΟ ΑΘΗΝΩΝ</t>
  </si>
  <si>
    <t>mail@3nip-athin.att.sch.gr</t>
  </si>
  <si>
    <t>ΤΣΑΚΑΣΙΑΝΟΥ 26</t>
  </si>
  <si>
    <t>16ο ΝΗΠΙΑΓΩΓΕΙΟ ΖΩΓΡΑΦΟΥ</t>
  </si>
  <si>
    <t>mail@16nip-zograf.att.sch.gr</t>
  </si>
  <si>
    <t>ΜΑΙΚΗΝΑ 30</t>
  </si>
  <si>
    <t>5ο ΝΗΠΙΑΓΩΓΕΙΟ ΗΛΙΟΥΠΟΛΗΣ</t>
  </si>
  <si>
    <t>mail@5nip-ilioup.att.sch.gr</t>
  </si>
  <si>
    <t>38ο ΝΗΠΙΑΓΩΓΕΙΟ ΑΘΗΝΩΝ</t>
  </si>
  <si>
    <t>mail@38nip-athin.att.sch.gr</t>
  </si>
  <si>
    <t>4ο  ΝΗΠΙΑΓΩΓΕΙΟ ΑΘΗΝΩΝ</t>
  </si>
  <si>
    <t>mail@4nip-athin.att.sch.gr</t>
  </si>
  <si>
    <t>ΚΟΚΚΕΡΕΛ 14, Αθήνα</t>
  </si>
  <si>
    <t>2ο ΝΗΠΙΑΓΩΓΕΙΟ ΝΕΑΣ ΦΙΛΑΔΕΛΦΕΙΑΣ</t>
  </si>
  <si>
    <t>mail@2nip-n-filad.att.sch.gr</t>
  </si>
  <si>
    <t>ΝΕΑΣ ΦΙΛΑΔΕΛΦΕΙΑΣ</t>
  </si>
  <si>
    <t>ΣΜΥΡΝΗΣ 38</t>
  </si>
  <si>
    <t>6/Θ ΠΕΙΡΑΜΑΤΙΚΟ ΔΗΜΟΤΙΚΟ ΣΧΟΛΕΙΟ ΠΑΝΕΠΙΣΤΗΜΙΟΥ ΑΘΗΝΩΝ - Π.Σ.Π.Α.</t>
  </si>
  <si>
    <t>pspa@sch.gr</t>
  </si>
  <si>
    <t>Σκουφά 43</t>
  </si>
  <si>
    <t>116ο  ΝΗΠΙΑΓΩΓΕΙΟ ΑΘΗΝΩΝ</t>
  </si>
  <si>
    <t>mail@116nip-athin.att.sch.gr</t>
  </si>
  <si>
    <t>44ο  ΔΗΜΟΤΙΚΟ ΣΧΟΛΕΙΟ ΑΘΗΝΩΝ</t>
  </si>
  <si>
    <t>mail@44dim-athin.att.sch.gr</t>
  </si>
  <si>
    <t>ΚΟΥΡΤΙΔΟΥ ΚΑΙ ΜΗΛΙΑΡΑΚΗ 57-59</t>
  </si>
  <si>
    <t>20ο ΝΗΠΙΑΓΩΓΕΙΟ ΑΘΗΝΩΝ</t>
  </si>
  <si>
    <t>mail@20nip-athin.att.sch.gr</t>
  </si>
  <si>
    <t>ΘΕΟΛΟΓΟΥ ΙΩΑΝΝΙΔΗ 7</t>
  </si>
  <si>
    <t>7ο  ΔΗΜΟΤΙΚΟ ΣΧΟΛΕΙΟ ΚΑΙΣΑΡΙΑΝΗΣ</t>
  </si>
  <si>
    <t>mail@7dim-kaisar.att.sch.gr</t>
  </si>
  <si>
    <t>129ο  ΝΗΠΙΑΓΩΓΕΙΟ ΑΘΗΝΩΝ</t>
  </si>
  <si>
    <t>mail@129nip-athin.att.sch.gr</t>
  </si>
  <si>
    <t>ΠΥΡΣΟΓΙΑΝΝΗΣ 13A</t>
  </si>
  <si>
    <t>29ο ΝΗΠΙΑΓΩΓΕΙΟ ΑΘΗΝΩΝ</t>
  </si>
  <si>
    <t>mail@29nip-athin.att.sch.gr</t>
  </si>
  <si>
    <t>ΜΟΥΣΤΟΞΥΔΗ 23</t>
  </si>
  <si>
    <t>104ο  ΔΗΜΟΤΙΚΟ ΣΧΟΛΕΙΟ ΑΘΗΝΩΝ</t>
  </si>
  <si>
    <t>mail@104dim-athin.att.sch.gr</t>
  </si>
  <si>
    <t>ΜΑΙΑΝΔΡΟΥΠΟΛΕΩΣ 42</t>
  </si>
  <si>
    <t>3ο ΔΗΜΟΤΙΚΟ ΣΧΟΛΕΙΟ ΑΘΗΝΩΝ</t>
  </si>
  <si>
    <t>mail@3dim-athin.att.sch.gr</t>
  </si>
  <si>
    <t>22ο ΝΗΠΙΑΓΩΓΕΙΟ ΑΘΗΝΩΝ</t>
  </si>
  <si>
    <t>mail@22nip-athin.att.sch.gr</t>
  </si>
  <si>
    <t>142ο  ΔΗΜΟΤΙΚΟ ΣΧΟΛΕΙΟ ΑΘΗΝΩΝ</t>
  </si>
  <si>
    <t>mail@142dim-athin.att.sch.gr</t>
  </si>
  <si>
    <t>ΚΡΥΣΤΑΛΛΗ 10-16</t>
  </si>
  <si>
    <t>65ο ΝΗΠΙΑΓΩΓΕΙΟ ΑΘΗΝΩΝ</t>
  </si>
  <si>
    <t>mail@65nip-athin.att.sch.gr</t>
  </si>
  <si>
    <t>ΑΔΜΗΤΟΥ  64</t>
  </si>
  <si>
    <t>66ο ΝΗΠΙΑΓΩΓΕΙΟ ΑΘΗΝΩΝ</t>
  </si>
  <si>
    <t>mail@66nip-athin.att.sch.gr</t>
  </si>
  <si>
    <t>ΥΓΕΙΑΣ 11</t>
  </si>
  <si>
    <t>76ο ΝΗΠΙΑΓΩΓΕΙΟ ΑΘΗΝΩΝ</t>
  </si>
  <si>
    <t>mail@76nip-athin.att.sch.gr</t>
  </si>
  <si>
    <t>ΜΙΧ. ΝΟΜΙΚΟΥ 26</t>
  </si>
  <si>
    <t>7ο ΝΗΠΙΑΓΩΓΕΙΟ ΒΥΡΩΝΑ</t>
  </si>
  <si>
    <t>mail@7nip-vyron.att.sch.gr</t>
  </si>
  <si>
    <t>ΑΙΓΙΑΛΕΙΑΣ 33</t>
  </si>
  <si>
    <t>50ο  ΝΗΠΙΑΓΩΓΕΙΟ ΑΘΗΝΩΝ</t>
  </si>
  <si>
    <t>mail@50nip-athin.att.sch.gr</t>
  </si>
  <si>
    <t>ΣΙΛΑΝΙΩΝΟΣ 1</t>
  </si>
  <si>
    <t>128ο ΔΗΜΟΤΙΚΟ ΣΧΟΛΕΙΟ ΑΘΗΝΩΝ</t>
  </si>
  <si>
    <t>mail@128dim-athin.att.sch.gr</t>
  </si>
  <si>
    <t>ΚΑΛΑΜΑ 2</t>
  </si>
  <si>
    <t>71ο ΝΗΠΙΑΓΩΓΕΙΟ ΑΘΗΝΩΝ</t>
  </si>
  <si>
    <t>mail@71nip-athin.att.sch.gr</t>
  </si>
  <si>
    <t>Γ. ΚΟΛΟΚΟΤΡΩΝΗ 25-27</t>
  </si>
  <si>
    <t>48ο ΝΗΠΙΑΓΩΓΕΙΟ ΑΘΗΝΩΝ</t>
  </si>
  <si>
    <t>mail@48nip-athin.att.sch.gr</t>
  </si>
  <si>
    <t>ΑΚΤΑΙΟΥ 6</t>
  </si>
  <si>
    <t>91ο ΝΗΠΙΑΓΩΓΕΙΟ ΑΘΗΝΩΝ</t>
  </si>
  <si>
    <t>mail@91nip-athin.att.sch.gr</t>
  </si>
  <si>
    <t>ΛΕΥΚΩΣΙΑΣ 50</t>
  </si>
  <si>
    <t>117ο ΝΗΠΙΑΓΩΓΕΙΟ ΑΘΗΝΩΝ</t>
  </si>
  <si>
    <t>mail@117nip-athin.att.sch.gr</t>
  </si>
  <si>
    <t>ΚΟΖΑΚΗ ΤΥΠΑΛΔΟΥ 11-17</t>
  </si>
  <si>
    <t>96ο  ΝΗΠΙΑΓΩΓΕΙΟ ΑΘΗΝΩΝ</t>
  </si>
  <si>
    <t>mail@96nip-athin.att.sch.gr</t>
  </si>
  <si>
    <t>ΑΡΙΣΤΟΒΟΥΛΟΥ 12</t>
  </si>
  <si>
    <t>92ο  ΝΗΠΙΑΓΩΓΕΙΟ ΑΘΗΝΩΝ</t>
  </si>
  <si>
    <t>mail@92nip-athin.att.sch.gr</t>
  </si>
  <si>
    <t>ΑΔΜΗΤΟΥ 64</t>
  </si>
  <si>
    <t>93ο  ΝΗΠΙΑΓΩΓΕΙΟ ΑΘΗΝΩΝ</t>
  </si>
  <si>
    <t>mail@93nip-athin.att.sch.gr</t>
  </si>
  <si>
    <t>ΧΙΛΙΑΝΔΑΡΙΟΥ 4</t>
  </si>
  <si>
    <t>51ο ΝΗΠΙΑΓΩΓΕΙΟ ΑΘΗΝΩΝ</t>
  </si>
  <si>
    <t>mail@51nip-athin.att.sch.gr</t>
  </si>
  <si>
    <t>ΑΛΚΜΗΝΗΣ 71</t>
  </si>
  <si>
    <t>119ο ΝΗΠΙΑΓΩΓΕΙΟ ΑΘΗΝΩΝ</t>
  </si>
  <si>
    <t>mail@119nip-athin.att.sch.gr</t>
  </si>
  <si>
    <t>6ο  ΝΗΠΙΑΓΩΓΕΙΟ ΒΥΡΩΝΑ</t>
  </si>
  <si>
    <t>mail@6nip-vyron.att.sch.gr</t>
  </si>
  <si>
    <t>ΑΙΓΙΑΛΕΙΑΣ 33Α</t>
  </si>
  <si>
    <t>122ο ΝΗΠΙΑΓΩΓΕΙΟ ΑΘΗΝΩΝ</t>
  </si>
  <si>
    <t>mail@122nip-athin.att.sch.gr</t>
  </si>
  <si>
    <t>ΕΥΑΓΡΙΟΥ ΚΑΙ ΕΡΑΣΜΟΥ</t>
  </si>
  <si>
    <t>123ο  ΝΗΠΙΑΓΩΓΕΙΟ ΑΘΗΝΩΝ</t>
  </si>
  <si>
    <t>mail@123nip-athin.att.sch.gr</t>
  </si>
  <si>
    <t>5ο ΔΗΜΟΤΙΚΟ ΣΧΟΛΕΙΟ ΝΕΑΣ ΦΙΛΑΔΕΛΦΕΙΑΣ</t>
  </si>
  <si>
    <t>mail@5dim-n-filad.att.sch.gr</t>
  </si>
  <si>
    <t>ΝΙΚΗΤΑΡΑ 28</t>
  </si>
  <si>
    <t>139ο ΝΗΠΙΑΓΩΓΕΙΟ ΑΘΗΝΩΝ</t>
  </si>
  <si>
    <t>mail@139nip-athin.att.sch.gr</t>
  </si>
  <si>
    <t>ΦΩΚΙΩΝΟΣ ΝΕΓΡΗ 63</t>
  </si>
  <si>
    <t>12ο ΔΗΜΟΤΙΚΟ ΣΧΟΛΕΙΟ ΓΑΛΑΤΣΙΟΥ</t>
  </si>
  <si>
    <t>mail@12dim-galats.att.sch.gr</t>
  </si>
  <si>
    <t>ΛΕΩΦ. ΓΑΛΑΤΣΙΟΥ 86</t>
  </si>
  <si>
    <t>10ο ΔΗΜΟΤΙΚΟ ΣΧΟΛΕΙΟ ΒΥΡΩΝΑ</t>
  </si>
  <si>
    <t>mail@10dim-vyron.att.sch.gr</t>
  </si>
  <si>
    <t>ΙΩΑΝΝΙΝΩΝ 12</t>
  </si>
  <si>
    <t>3ο ΔΗΜΟΤΙΚΟ ΣΧΟΛΕΙΟ ΥΜΗΤΤΟΥ</t>
  </si>
  <si>
    <t>mail@3dim-ymitt.att.sch.gr</t>
  </si>
  <si>
    <t>1ο ΔΗΜΟΤΙΚΟ ΣΧΟΛΕΙΟ ΑΘΗΝΩΝ</t>
  </si>
  <si>
    <t>mail@1dim-athin.att.sch.gr</t>
  </si>
  <si>
    <t>ΣΠΥΡΟΥ ΜΕΡΚΟΥΡΗ 20</t>
  </si>
  <si>
    <t>72ο ΔΗΜΟΤΙΚΟ ΣΧΟΛΕΙΟ ΑΘΗΝΩΝ - ΑΝΔΡΕΑΣ ΚΑΛΒΟΣ</t>
  </si>
  <si>
    <t>mail@72dim-athin.att.sch.gr</t>
  </si>
  <si>
    <t>ΑΚΤΑΙΟΥ 2-4</t>
  </si>
  <si>
    <t>7ο ΔΗΜΟΤΙΚΟ ΣΧΟΛΕΙΟ ΓΑΛΑΤΣΙΟΥ</t>
  </si>
  <si>
    <t>mail@7dim-galats.att.sch.gr</t>
  </si>
  <si>
    <t>Γαλάτσι</t>
  </si>
  <si>
    <t>ΔΡΥΑΔΩΝ 43</t>
  </si>
  <si>
    <t>12ο ΔΗΜΟΤΙΚΟ ΣΧΟΛΕΙΟ ΖΩΓΡΑΦΟΥ - ΣΤΡΑΤΗΓΟΣ ΓΙΑΝΝΗΣ ΜΑΚΡΥΓΙΑΝΝΗΣ</t>
  </si>
  <si>
    <t>mail@12dim-zograf.att.sch.gr</t>
  </si>
  <si>
    <t>ΜΑΚΡΥΓΙΑΝΝΗ 44Α</t>
  </si>
  <si>
    <t>6ο  ΝΗΠΙΑΓΩΓΕΙΟ ΗΛΙΟΥΠΟΛΗΣ</t>
  </si>
  <si>
    <t>mail@6nip-ilioup.att.sch.gr</t>
  </si>
  <si>
    <t>ΜΥΚΟΝΟΥ ΚΑΙ ΛΑΡΝΑΚΟΣ</t>
  </si>
  <si>
    <t>139ο ΔΗΜΟΤΙΚΟ ΣΧΟΛΕΙΟ ΑΘΗΝΩΝ</t>
  </si>
  <si>
    <t>mail@139dim-athin.att.sch.gr</t>
  </si>
  <si>
    <t>ΜΑΒΙΛΗ 11</t>
  </si>
  <si>
    <t>7ο ΔΗΜΟΤΙΚΟ ΣΧΟΛΕΙΟ ΗΛΙΟΥΠΟΛΗΣ</t>
  </si>
  <si>
    <t>mail@7dim-ilioup.att.sch.gr</t>
  </si>
  <si>
    <t xml:space="preserve">Ηλιούπολη, </t>
  </si>
  <si>
    <t>Γράμμου 30 &amp; Ματσούκα,</t>
  </si>
  <si>
    <t>1ο ΝΗΠΙΑΓΩΓΕΙΟ ΥΜΗΤΤΟΥ</t>
  </si>
  <si>
    <t>mail@1nip-ymitt.att.sch.gr</t>
  </si>
  <si>
    <t>ΠΡΟΥΣΣΗΣ 1</t>
  </si>
  <si>
    <t>88ο ΝΗΠΙΑΓΩΓΕΙΟ ΑΘΗΝΩΝ</t>
  </si>
  <si>
    <t>mail@88nip-athin.att.sch.gr</t>
  </si>
  <si>
    <t>ΑΜΦΙΚΡΑΤΟΥΣ ΚΑΙ ΙΛΙΑΔΟΣ 6</t>
  </si>
  <si>
    <t>34ο ΝΗΠΙΑΓΩΓΕΙΟ ΑΘΗΝΩΝ</t>
  </si>
  <si>
    <t>mail@34nip-athin.att.sch.gr</t>
  </si>
  <si>
    <t>4ο ΝΗΠΙΑΓΩΓΕΙΟ ΔΑΦΝΗΣ</t>
  </si>
  <si>
    <t>mail@4nip-dafnis.att.sch.gr</t>
  </si>
  <si>
    <t>ΕΘΝΙΚΗΣ ΑΝΤΙΣΤΑΣΗΣ 21</t>
  </si>
  <si>
    <t>20ο ΔΗΜΟΤΙΚΟ ΣΧΟΛΕΙΟ ΑΘΗΝΩΝ</t>
  </si>
  <si>
    <t>mail@20dim-athin.att.sch.gr</t>
  </si>
  <si>
    <t>ΜΑΥΡΟΓΕΝΟΥΣ 8</t>
  </si>
  <si>
    <t>12ο ΝΗΠΙΑΓΩΓΕΙΟ ΑΘΗΝΩΝ</t>
  </si>
  <si>
    <t>mail@12nip-athin.att.sch.gr</t>
  </si>
  <si>
    <t>ΠΟΝΤΟΥ ΚΑΙ ΑΓ. ΘΩΜΑ</t>
  </si>
  <si>
    <t>6ο  ΝΗΠΙΑΓΩΓΕΙΟ ΔΑΦΝΗΣ</t>
  </si>
  <si>
    <t>mail@6nip-dafnis.att.sch.gr</t>
  </si>
  <si>
    <t>ΧΙΟΥ  45</t>
  </si>
  <si>
    <t>29ο ΔΗΜΟΤΙΚΟ ΣΧΟΛΕΙΟ ΑΘΗΝΩΝ           " ΝΙΚΟΣ ΓΚΑΤΣΟΣ "</t>
  </si>
  <si>
    <t>mail@29dim-athin.att.sch.gr</t>
  </si>
  <si>
    <t>ΔΟΪΡΑΝΗΣ 43</t>
  </si>
  <si>
    <t>45ο ΔΗΜΟΤΙΚΟ ΣΧΟΛΕΙΟ ΑΘΗΝΩΝ</t>
  </si>
  <si>
    <t>mail@45dim-athin.att.sch.gr</t>
  </si>
  <si>
    <t>ΠΥΘΙΑΣ 38</t>
  </si>
  <si>
    <t>63ο ΔΗΜΟΤΙΚΟ ΣΧΟΛΕΙΟ ΑΘΗΝΩΝ - ΓΙΑΝΝΗΣ ΡΙΤΣΟΣ</t>
  </si>
  <si>
    <t>mail@63dim-athin.att.sch.gr</t>
  </si>
  <si>
    <t>127ο ΔΗΜΟΤΙΚΟ ΣΧΟΛΕΙΟ ΑΘΗΝΩΝ</t>
  </si>
  <si>
    <t>mail@127dim-athin.att.sch.gr</t>
  </si>
  <si>
    <t>ΚΑΛΛΙΠΟΛΕΩΣ 10-12</t>
  </si>
  <si>
    <t>112ο  ΝΗΠΙΑΓΩΓΕΙΟ ΑΘΗΝΩΝ</t>
  </si>
  <si>
    <t>mail@112nip-athin.att.sch.gr</t>
  </si>
  <si>
    <t>ΛΑΓΟΥΜΙΤΖΗ 55</t>
  </si>
  <si>
    <t>27ο  ΝΗΠΙΑΓΩΓΕΙΟ ΑΘΗΝΩΝ</t>
  </si>
  <si>
    <t>mail@27nip-athin.att.sch.gr</t>
  </si>
  <si>
    <t>22ο  ΔΗΜΟΤΙΚΟ ΣΧΟΛΕΙΟ ΑΘΗΝΩΝ</t>
  </si>
  <si>
    <t>22dimath@sch.gr</t>
  </si>
  <si>
    <t>2ο ΝΗΠΙΑΓΩΓΕΙΟ ΔΑΦΝΗΣ</t>
  </si>
  <si>
    <t>mail@2nip-dafnis.att.sch.gr</t>
  </si>
  <si>
    <t>ΟΛΓΑΣ ΚΑΙ ΑΡΙΣΤΟΤΕΛΟΥΣ 9</t>
  </si>
  <si>
    <t>10ο ΝΗΠΙΑΓΩΓΕΙΟ ΓΑΛΑΤΣΙΟΥ</t>
  </si>
  <si>
    <t>mail@10nip-galats.att.sch.gr</t>
  </si>
  <si>
    <t>ΑΙΓΟΣΘΕΝΩΝ 59</t>
  </si>
  <si>
    <t>4ο  ΔΗΜΟΤΙΚΟ ΣΧΟΛΕΙΟ Ν. ΦΙΛΑΔΕΛΦΕΙΑΣ</t>
  </si>
  <si>
    <t>mail@4dim-n-filad.att.sch.gr</t>
  </si>
  <si>
    <t>Ν.  Φιλαδέλφεια</t>
  </si>
  <si>
    <t>Λαχανά 1</t>
  </si>
  <si>
    <t>52ο ΝΗΠΙΑΓΩΓΕΙΟ ΑΘΗΝΩΝ</t>
  </si>
  <si>
    <t>mail@52nip-athin.att.sch.gr</t>
  </si>
  <si>
    <t>ΑΙΓΗΙΔΩΝ 35</t>
  </si>
  <si>
    <t>118ο ΝΗΠΙΑΓΩΓΕΙΟ ΑΘΗΝΩΝ</t>
  </si>
  <si>
    <t>mail@118nip-athin.att.sch.gr</t>
  </si>
  <si>
    <t>ΠΥΡΛΑ 31</t>
  </si>
  <si>
    <t>22ο  ΝΗΠΙΑΓΩΓΕΙΟ ΗΛΙΟΥΠΟΛΗΣ</t>
  </si>
  <si>
    <t>mail@22nip-ilioup.att.sch.gr</t>
  </si>
  <si>
    <t>ΣΑΡΩΝΙΚΟΥ 31</t>
  </si>
  <si>
    <t>131ο ΝΗΠΙΑΓΩΓΕΙΟ ΑΘΗΝΩΝ</t>
  </si>
  <si>
    <t>mail@131nip-athin.att.sch.gr</t>
  </si>
  <si>
    <t>ΚΟΥΡΤΙΔΟΥ ΚΑΙ ΠΥΡΛΑ 33</t>
  </si>
  <si>
    <t>3ο ΔΗΜΟΤΙΚΟ ΣΧΟΛΕΙΟ ΚΑΙΣΑΡΙΑΝΗΣ</t>
  </si>
  <si>
    <t>mail@3dim-kaisar.att.sch.gr</t>
  </si>
  <si>
    <t>ΗΡΩΣ ΚΩΝΣΤΑΝΤΟΠΟΥΛΟΥ 13Α</t>
  </si>
  <si>
    <t>87ο ΝΗΠΙΑΓΩΓΕΙΟ ΑΘΗΝΩΝ</t>
  </si>
  <si>
    <t>87nipath@sch.gr</t>
  </si>
  <si>
    <t>54ο  ΝΗΠΙΑΓΩΓΕΙΟ ΑΘΗΝΩΝ</t>
  </si>
  <si>
    <t>mail@54nip-athin.att.sch.gr</t>
  </si>
  <si>
    <t>ΑΜΦΙΠΟΛΕΩΣ κ ΟΡΦΕΩΣ</t>
  </si>
  <si>
    <t>4ο ΔΗΜΟΤΙΚΟ ΣΧΟΛΕΙΟ ΥΜΗΤΤΟΥ</t>
  </si>
  <si>
    <t>mail@4dim-ymitt.att.sch.gr</t>
  </si>
  <si>
    <t>ΠΡΟΥΣΗΣ 1</t>
  </si>
  <si>
    <t>130ο ΝΗΠΙΑΓΩΓΕΙΟ ΑΘΗΝΩΝ</t>
  </si>
  <si>
    <t>mail@130nip-athin.att.sch.gr</t>
  </si>
  <si>
    <t>61ο ΝΗΠΙΑΓΩΓΕΙΟ ΑΘΗΝΩΝ</t>
  </si>
  <si>
    <t>mail@61nip-athin.att.sch.gr</t>
  </si>
  <si>
    <t>ΧΑΤΖΗΑΠΟΣΤΟΛΟΥ 56-72</t>
  </si>
  <si>
    <t>75ο ΔΗΜΟΤΙΚΟ ΣΧΟΛΕΙΟ ΑΘΗΝΩΝ</t>
  </si>
  <si>
    <t>mail@75dim-athin.att.sch.gr</t>
  </si>
  <si>
    <t>ΡΙΚΑΚΗ 9</t>
  </si>
  <si>
    <t>106ο ΔΗΜΟΤΙΚΟ ΣΧΟΛΕΙΟ ΑΘΗΝΩΝ</t>
  </si>
  <si>
    <t>mail@106dim-athin.att.sch.gr</t>
  </si>
  <si>
    <t>ΠΟΝΤΟΥ &amp; ΑΓ. ΘΩΜΑ</t>
  </si>
  <si>
    <t>5ο ΔΗΜΟΤΙΚΟ ΣΧΟΛΕΙΟ ΗΛΙΟΥΠΟΛΗΣ</t>
  </si>
  <si>
    <t>mail@5dim-ilioup.att.sch.gr</t>
  </si>
  <si>
    <t>21ο ΔΗΜΟΤΙΚΟ ΣΧΟΛΕΙΟ ΗΛΙΟΥΠΟΛΗΣ</t>
  </si>
  <si>
    <t>mail@21dim-ilioup.att.sch.gr</t>
  </si>
  <si>
    <t>ΤΕΜΠΟΝΕΡΑ ΚΑΙ ΜΑΤΣΟΥΚΑ</t>
  </si>
  <si>
    <t>41ο ΔΗΜΟΤΙΚΟ ΣΧΟΛΕΙΟ ΑΘΗΝΩΝ</t>
  </si>
  <si>
    <t>mail@41dim-athin.att.sch.gr</t>
  </si>
  <si>
    <t>ΒΑΡΒΑΚΗ 23</t>
  </si>
  <si>
    <t>144ο  ΔΗΜΟΤΙΚΟ ΣΧΟΛΕΙΟ ΑΘΗΝΩΝ</t>
  </si>
  <si>
    <t>mail@144dim-athin.att.sch.gr</t>
  </si>
  <si>
    <t>ΧΑΤΖΗΑΠΟΣΤΟΛΟΥ ΚΑΙ ΜΕΤΟΧΙΤΗ 1</t>
  </si>
  <si>
    <t>71ο ΔΗΜΟΤΙΚΟ ΣΧΟΛΕΙΟ ΑΘΗΝΩΝ</t>
  </si>
  <si>
    <t>mail@71dim-athin.att.sch.gr</t>
  </si>
  <si>
    <t>ΓΕΝ. ΚΟΛΟΚΟΤΡΩΝΗ 25</t>
  </si>
  <si>
    <t>62ο ΝΗΠΙΑΓΩΓΕΙΟ ΑΘΗΝΩΝ</t>
  </si>
  <si>
    <t>mail@62nip-athin.att.sch.gr</t>
  </si>
  <si>
    <t>ΑΙΛΙΑΝΟΥ 10</t>
  </si>
  <si>
    <t>49ο ΔΗΜΟΤΙΚΟ ΣΧΟΛΕΙΟ ΑΘΗΝΩΝ</t>
  </si>
  <si>
    <t>49dimath@sch.gr</t>
  </si>
  <si>
    <t>ΑΓ. ΑΣΩΜΑΤΩΝ 35</t>
  </si>
  <si>
    <t>142ο  ΝΗΠΙΑΓΩΓΕΙΟ ΑΘΗΝΩΝ</t>
  </si>
  <si>
    <t>mail@142nip-athin.att.sch.gr</t>
  </si>
  <si>
    <t>ΕΥΓΕΝΙΟΥ ΚΑΡΑΒΙΑ 9 ΚΑΙ ΔΕΥΚΑΛΙΩΝΟΣ 34</t>
  </si>
  <si>
    <t>54ο ΔΗΜΟΤΙΚΟ ΣΧΟΛΕΙΟ ΑΘΗΝΩΝ</t>
  </si>
  <si>
    <t>mail@54dim-athin.att.sch.gr</t>
  </si>
  <si>
    <t>Μ. ΒΟΔΑ 9</t>
  </si>
  <si>
    <t>7ο ΔΗΜΟΤΙΚΟ ΣΧΟΛΕΙΟ ΝΕΑΣ ΦΙΛΑΔΕΛΦΕΙΑΣ</t>
  </si>
  <si>
    <t>mail@7dim-n-filad.att.sch.gr</t>
  </si>
  <si>
    <t>ΠΑΡΟΔΟΣ ΠΑΠΑΝΙΚΟΛΗ</t>
  </si>
  <si>
    <t>7ο ΔΗΜΟΤΙΚΟ ΣΧΟΛΕΙΟ ΔΑΦΝΗΣ</t>
  </si>
  <si>
    <t>mail@7dim-dafnis.att.sch.gr</t>
  </si>
  <si>
    <t>ΕΘΝ. ΑΝΤΙΣΤΑΣΗΣ ΚΑΙ ΑΡΙΣΤΟΤΕΛΟΥΣ 9</t>
  </si>
  <si>
    <t>8ο ΔΗΜΟΤΙΚΟ ΣΧΟΛΕΙΟ ΒΥΡΩΝΑ</t>
  </si>
  <si>
    <t>mail@8dim-vyron.att.sch.gr</t>
  </si>
  <si>
    <t>128ο ΝΗΠΙΑΓΩΓΕΙΟ ΑΘΗΝΩΝ</t>
  </si>
  <si>
    <t>mail@128nip-athin.att.sch.gr</t>
  </si>
  <si>
    <t>ΔΗΜΩΝΑΚΤΟΣ 17</t>
  </si>
  <si>
    <t>1ο ΝΗΠΙΑΓΩΓΕΙΟ ΔΑΦΝΗΣ</t>
  </si>
  <si>
    <t>mail@1nip-dafnis.att.sch.gr</t>
  </si>
  <si>
    <t>ΕΘΝΑΡΧΟΥ ΜΑΚΑΡΙΟΥ ΚΑΙ ΚΙΟΥ 2</t>
  </si>
  <si>
    <t>103ο ΝΗΠΙΑΓΩΓΕΙΟ ΑΘΗΝΩΝ</t>
  </si>
  <si>
    <t>mail@103nip-athin.att.sch.gr</t>
  </si>
  <si>
    <t>1ο ΔΗΜΟΤΙΚΟ ΣΧΟΛΕΙΟ ΥΜΗΤΤΟΥ</t>
  </si>
  <si>
    <t>mail@1dim-ymitt.att.sch.gr</t>
  </si>
  <si>
    <t>ΠΑΠΑΣΤΡΑΤΟΥ 34</t>
  </si>
  <si>
    <t>21ο ΔΗΜΟΤΙΚΟ ΣΧΟΛΕΙΟ ΑΘΗΝΩΝ "ΛΕΛΑ ΚΑΡΑΓΙΑΝΝΗ"</t>
  </si>
  <si>
    <t>21dimath@sch.gr</t>
  </si>
  <si>
    <t>ΚΥΠΡΟΥ 43</t>
  </si>
  <si>
    <t>99ο ΔΗΜΟΤΙΚΟ ΣΧΟΛΕΙΟ ΑΘΗΝΩΝ</t>
  </si>
  <si>
    <t>mail@99dim-athin.att.sch.gr</t>
  </si>
  <si>
    <t>ΥΓΕΙΑΣ 11α</t>
  </si>
  <si>
    <t>17ο ΝΗΠΙΑΓΩΓΕΙΟ ΗΛΙΟΥΠΟΛΗΣ</t>
  </si>
  <si>
    <t>mail@17nip-ilioup.att.sch.gr</t>
  </si>
  <si>
    <t>ΜΥΚΟΝΟΥ ΚΑΙ ΖΑΠΠΑ 2</t>
  </si>
  <si>
    <t>1ο ΝΗΠΙΑΓΩΓΕΙΟ ΗΛΙΟΥΠΟΛΗΣ</t>
  </si>
  <si>
    <t>mail@1nip-ilioup.att.sch.gr</t>
  </si>
  <si>
    <t>Λ. ΠΡΩΤΟΠΑΠΠΑ  2</t>
  </si>
  <si>
    <t>2ο ΝΗΠΙΑΓΩΓΕΙΟ ΗΛΙΟΥΠΟΛΗΣ</t>
  </si>
  <si>
    <t>mail@2nip-ilioup.att.sch.gr</t>
  </si>
  <si>
    <t>ΠΟΥΣΟΥΛΙΔΟΥ 19</t>
  </si>
  <si>
    <t>120ο  ΔΗΜΟΤΙΚΟ ΣΧΟΛΕΙΟ ΑΘΗΝΩΝ</t>
  </si>
  <si>
    <t>mail@120dim-athin.att.sch.gr</t>
  </si>
  <si>
    <t>ΚΟΚΚΕΡΕΛ 14</t>
  </si>
  <si>
    <t>3ο ΝΗΠΙΑΓΩΓΕΙΟ ΒΥΡΩΝΑ</t>
  </si>
  <si>
    <t>mail@3nip-vyron.att.sch.gr</t>
  </si>
  <si>
    <t>ΘΥΜΑΤΩΝ ΠΟΛΕΜΟΥ 27</t>
  </si>
  <si>
    <t>133ο ΔΗΜΟΤΙΚΟ ΣΧΟΛΕΙΟ ΑΘΗΝΩΝ</t>
  </si>
  <si>
    <t>mail@133dim-athin.att.sch.gr</t>
  </si>
  <si>
    <t>ΚΥΨΕΛΗΣ &amp; ΤΡΟΙΑΣ 6</t>
  </si>
  <si>
    <t>4ο  ΔΗΜΟΤΙΚΟ ΣΧΟΛΕΙΟ ΑΘΗΝΩΝ</t>
  </si>
  <si>
    <t>mail@4dim-athin.att.sch.gr</t>
  </si>
  <si>
    <t>ΘΕΑΓΕΝΟΥΣ - ΚΟΝΩΝΟΣ</t>
  </si>
  <si>
    <t>8ο ΔΗΜΟΤΙΚΟ ΣΧΟΛΕΙΟ ΔΑΦΝΗΣ</t>
  </si>
  <si>
    <t>mail@8dim-dafnis.att.sch.gr</t>
  </si>
  <si>
    <t>ΕΛΕΥΘΕΡΙΑΣ 2A</t>
  </si>
  <si>
    <t>172ο  ΔΗΜΟΤΙΚΟ ΣΧΟΛΕΙΟ ΑΘΗΝΩΝ</t>
  </si>
  <si>
    <t>mail@172dim-athin.att.sch.gr</t>
  </si>
  <si>
    <t>ΣΚΟΠΕΛΟΥ 67</t>
  </si>
  <si>
    <t>14ο  ΝΗΠΙΑΓΩΓΕΙΟ ΗΛΙΟΥΠΟΛΗΣ</t>
  </si>
  <si>
    <t>mail@14nip-ilioup.att.sch.gr</t>
  </si>
  <si>
    <t>ΘΡΑΚΗΣ 31</t>
  </si>
  <si>
    <t>100ο ΔΗΜΟΤΙΚΟ ΣΧΟΛΕΙΟ ΑΘΗΝΩΝ</t>
  </si>
  <si>
    <t>mail@100dim-athin.att.sch.gr</t>
  </si>
  <si>
    <t>ΠΥΡΡΑΣ 15</t>
  </si>
  <si>
    <t>40ο ΔΗΜΟΤΙΚΟ ΣΧΟΛΕΙΟ ΑΘΗΝΩΝ</t>
  </si>
  <si>
    <t>mail@40dim-athin.att.sch.gr</t>
  </si>
  <si>
    <t>ΜΟΜΦΕΡΑΤΟΥ ΚΑΙ ΦΑΛΗΡΕΩΣ 2-4</t>
  </si>
  <si>
    <t>2ο  ΝΗΠΙΑΓΩΓΕΙΟ ΒΥΡΩΝΑ</t>
  </si>
  <si>
    <t>mail@2nip-vyorn.att.sch.gr</t>
  </si>
  <si>
    <t>134ο ΔΗΜΟΤΙΚΟ ΣΧΟΛΕΙΟ ΑΘΗΝΩΝ</t>
  </si>
  <si>
    <t>mail@134dim-athin.att.sch.gr</t>
  </si>
  <si>
    <t>ΕΡΥΘΡΑΙΑΣ 14-18</t>
  </si>
  <si>
    <t>9ο ΔΗΜΟΤΙΚΟ ΣΧΟΛΕΙΟ ΓΑΛΑΤΣΙΟΥ</t>
  </si>
  <si>
    <t>mail@9dim-galats.att.sch.gr</t>
  </si>
  <si>
    <t>ΗΡΟΔΟΤΟΥ 3</t>
  </si>
  <si>
    <t>73ο ΔΗΜΟΤΙΚΟ ΣΧΟΛΕΙΟ ΑΘΗΝΩΝ</t>
  </si>
  <si>
    <t>mail@73dim-athin.att.sch.gr</t>
  </si>
  <si>
    <t>ΤΡΩΩΝ 2</t>
  </si>
  <si>
    <t>173ο ΔΗΜΟΤΙΚΟ ΣΧΟΛΕΙΟ ΑΘΗΝΩΝ</t>
  </si>
  <si>
    <t>mail@173dim-athin.att.sch.gr</t>
  </si>
  <si>
    <t>ΕΥΘΥΚΡΑΤΟΥΣ 2-8</t>
  </si>
  <si>
    <t>10ο ΔΗΜΟΤΙΚΟ ΣΧΟΛΕΙΟ ΗΛΙΟΥΠΟΛΗΣ</t>
  </si>
  <si>
    <t>mail@10dim-ilioup.att.sch.gr</t>
  </si>
  <si>
    <t>ΜΥΚΟΝΟΥ 34</t>
  </si>
  <si>
    <t>4ο ΔΗΜΟΤΙΚΟ ΣΧΟΛΕΙΟ ΔΑΦΝΗΣ</t>
  </si>
  <si>
    <t>mail@4dim-dafnis.att.sch.gr</t>
  </si>
  <si>
    <t>ΑΛ. ΠΑΠΑΝΑΣΤΑΣΙΟΥ 72</t>
  </si>
  <si>
    <t>16ο ΝΗΠΙΑΓΩΓΕΙΟ ΑΘΗΝΩΝ</t>
  </si>
  <si>
    <t>mail@16nip-athin.att.sch.gr</t>
  </si>
  <si>
    <t>Ι. ΠΑΓΚΑ  23</t>
  </si>
  <si>
    <t>24ο ΔΗΜΟΤΙΚΟ ΣΧΟΛΕΙΟ ΑΘΗΝΩΝ</t>
  </si>
  <si>
    <t>mail@24dim-athin.att.sch.gr</t>
  </si>
  <si>
    <t>ΣΑΡΑΝΤΟΠΟΡΟΥ 20</t>
  </si>
  <si>
    <t>1ο  ΔΗΜΟΤΙΚΟ ΣΧΟΛΕΙΟ ΔΑΦΝΗΣ</t>
  </si>
  <si>
    <t>mail@1dim-dafnis.att.sch.gr</t>
  </si>
  <si>
    <t>ΕΛΛΗΣ 19</t>
  </si>
  <si>
    <t>39ο ΔΗΜΟΤΙΚΟ ΣΧΟΛΕΙΟ ΑΘΗΝΩΝ</t>
  </si>
  <si>
    <t>mail@39dim-athin.att.sch.gr</t>
  </si>
  <si>
    <t>77ο ΝΗΠΙΑΓΩΓΕΙΟ ΑΘΗΝΩΝ</t>
  </si>
  <si>
    <t>mail@77nip-athin.att.sch.gr</t>
  </si>
  <si>
    <t>Ι.ΠΑΓΚΑ 23</t>
  </si>
  <si>
    <t>65ο ΔΗΜΟΤΙΚΟ ΣΧΟΛΕΙΟ ΑΘΗΝΩΝ - ΑΝΤΩΝΗΣ ΣΑΜΑΡΑΚΗΣ</t>
  </si>
  <si>
    <t>mail@65dim-athin.att.sch.gr</t>
  </si>
  <si>
    <t>ΤΑΫΓΕΤΟΥ 60</t>
  </si>
  <si>
    <t>26ο  ΔΗΜΟΤΙΚΟ ΣΧΟΛΕΙΟ ΑΘΗΝΩΝ</t>
  </si>
  <si>
    <t>mail@26dim-athin.att.sch.gr</t>
  </si>
  <si>
    <t>ΦΩΚ. ΝΕΓΡΗ 63</t>
  </si>
  <si>
    <t>9ο ΔΗΜΟΤΙΚΟ ΣΧΟΛΕΙΟ ΔΑΦΝΗΣ</t>
  </si>
  <si>
    <t>mail@9dim-dafnis.att.sch.gr</t>
  </si>
  <si>
    <t>ΖΩΟΔΟΧΟΥ ΠΗΓΗΣ 21-23 &amp; ΚΑΒΑΛΑΣ 20</t>
  </si>
  <si>
    <t>112ο  ΔΗΜΟΤΙΚΟ ΣΧΟΛΕΙΟ ΑΘΗΝΩΝ</t>
  </si>
  <si>
    <t>mail@112dim-athin.att.sch.gr</t>
  </si>
  <si>
    <t>2ο ΔΗΜΟΤΙΚΟ ΣΧΟΛΕΙΟ ΔΑΦΝΗΣ</t>
  </si>
  <si>
    <t>mail@2dim-dafnis.att.sch.gr</t>
  </si>
  <si>
    <t>Δάφνη</t>
  </si>
  <si>
    <t>ΑΛΕΞΑΝΔΡΕΙΑΣ  60</t>
  </si>
  <si>
    <t>132ο ΔΗΜΟΤΙΚΟ ΣΧΟΛΕΙΟ ΑΘΗΝΩΝ</t>
  </si>
  <si>
    <t>mail@132dim-athin.att.sch.gr</t>
  </si>
  <si>
    <t>28ο ΔΗΜΟΤΙΚΟ ΣΧΟΛΕΙΟ ΑΘΗΝΩΝ</t>
  </si>
  <si>
    <t>mail@28dim-athin.att.sch.gr</t>
  </si>
  <si>
    <t>140ο ΝΗΠΙΑΓΩΓΕΙΟ ΑΘΗΝΩΝ</t>
  </si>
  <si>
    <t>mail@140nip-athin.att.sch.gr</t>
  </si>
  <si>
    <t>ΧΑΤΖΗΑΠΟΣΤΟΛΟΥ ΚΑΙ ΜΕΤΟΧΙΤΗ</t>
  </si>
  <si>
    <t>38ο ΔΗΜΟΤΙΚΟ ΣΧΟΛΕΙΟ ΑΘΗΝΩΝ</t>
  </si>
  <si>
    <t>mail@38dim-athin.att.sch.gr</t>
  </si>
  <si>
    <t>63ο ΝΗΠΙΑΓΩΓΕΙΟ ΑΘΗΝΩΝ</t>
  </si>
  <si>
    <t>mail@63nip-athin.att.sch.gr</t>
  </si>
  <si>
    <t>ΙΘΑΚΗΣ 74-76</t>
  </si>
  <si>
    <t>53ο  ΔΗΜΟΤΙΚΟ ΣΧΟΛΕΙΟ ΑΘΗΝΩΝ</t>
  </si>
  <si>
    <t>mail@53dim-athin.att.sch.gr</t>
  </si>
  <si>
    <t xml:space="preserve">Αθήνα, </t>
  </si>
  <si>
    <t>ΤΑΡΣΟΥ 26</t>
  </si>
  <si>
    <t>141ο  ΔΗΜΟΤΙΚΟ ΣΧΟΛΕΙΟ ΑΘΗΝΩΝ</t>
  </si>
  <si>
    <t>mail@141dim-athin.att.sch.gr</t>
  </si>
  <si>
    <t>ΑΧΑΡΝΩΝ 399 &amp; ΤΣΟΥΝΤΑ</t>
  </si>
  <si>
    <t>1ο ΔΩΔΕΚΑΘΕΣΙΟ (12/Θ) ΠΕΙΡΑΜΑΤΙΚΟ ΔΗΜΟΤΙΚΟ ΣΧΟΛΕΙΟ ΠΑΝΕΠΙΣΤΗΜΙΟΥ ΑΘΗΝΩΝ (ΜΑΡΑΣΛΕΙΟ)</t>
  </si>
  <si>
    <t>mail@1dim-uoa.att.sch.gr</t>
  </si>
  <si>
    <t>ΜΑΡΑΣΛΗ 4</t>
  </si>
  <si>
    <t>152ο ΔΗΜΟΤΙΚΟ ΣΧΟΛΕΙΟ ΑΘΗΝΩΝ</t>
  </si>
  <si>
    <t>mail@152dim-athin.att.sch.gr</t>
  </si>
  <si>
    <t>ΜΗΛΙΑΡΑΚΗ 57</t>
  </si>
  <si>
    <t>72ο ΝΗΠΙΑΓΩΓΕΙΟ ΑΘΗΝΩΝ</t>
  </si>
  <si>
    <t>mail@72nip-athin.att.sch.gr</t>
  </si>
  <si>
    <t>8ο  ΔΗΜΟΤΙΚΟ ΣΧΟΛΕΙΟ ΝΕΑΣ ΦΙΛΑΔΕΛΦΕΙΑΣ</t>
  </si>
  <si>
    <t>mail@8dim-n-filad.att.sch.gr</t>
  </si>
  <si>
    <t>ΜΑΙΑΝΔΡΟΥ 85</t>
  </si>
  <si>
    <t>1ο ΔΗΜΟΤΙΚΟ ΣΧΟΛΕΙΟ ΝΕΑΣ ΧΑΛΚΗΔΟΝΑΣ</t>
  </si>
  <si>
    <t>mail@1dim-n-chalk.att.sch.gr</t>
  </si>
  <si>
    <t>ΝΕΑ ΧΑΛΚΗΔΟΝΑ</t>
  </si>
  <si>
    <t>ΓΡΗΓΟΡΙΟΥ Ε΄ 1</t>
  </si>
  <si>
    <t>135ο ΔΗΜΟΤΙΚΟ ΣΧΟΛΕΙΟ ΑΘΗΝΩΝ</t>
  </si>
  <si>
    <t>mail@135dim-athin.att.sch.gr</t>
  </si>
  <si>
    <t xml:space="preserve">Αθήνα </t>
  </si>
  <si>
    <t>ΜΟΜΦΕΡΑΤΟΥ 94</t>
  </si>
  <si>
    <t>2ο ΔΗΜΟΤΙΚΟ ΣΧΟΛΕΙΟ ΝΕΑΣ ΦΙΛΑΔΕΛΦΕΙΑΣ</t>
  </si>
  <si>
    <t>mail@2dim-n-filad.att.sch.gr</t>
  </si>
  <si>
    <t>ΕΦΕΣΟΥ 1 ΚΑΙ Ν.ΤΡΥΠΙΑ</t>
  </si>
  <si>
    <t>5ο ΔΗΜΟΤΙΚΟ ΣΧΟΛΕΙΟ ΔΑΦΝΗΣ  "ΓΕΩΡΓΙΟΣ ΜΠΟΥΖΙΑΝΗΣ"</t>
  </si>
  <si>
    <t>mail@5dim-dafnis.att.sch.gr</t>
  </si>
  <si>
    <t>ΓΡΑΜΜΟΥ 1</t>
  </si>
  <si>
    <t>114ο ΝΗΠΙΑΓΩΓΕΙΟ ΑΘΗΝΩΝ</t>
  </si>
  <si>
    <t>mail@114nip-athin.att.sch.gr</t>
  </si>
  <si>
    <t>ΔΑΜΑΡΕΩΣ 166</t>
  </si>
  <si>
    <t>23ο ΔΗΜΟΤΙΚΟ ΣΧΟΛΕΙΟ ΑΘΗΝΩΝ</t>
  </si>
  <si>
    <t>mail@23dim-athin.att.sch.gr</t>
  </si>
  <si>
    <t>ΜΙΧΑΗΛ ΝΟΜΙΚΟΥ 26</t>
  </si>
  <si>
    <t>6ο ΔΗΜΟΤΙΚΟ ΣΧΟΛΕΙΟ ΝΕΑΣ ΦΙΛΑΔΕΛΦΕΙΑΣ</t>
  </si>
  <si>
    <t>mail@6dim-n-filad.att.sch.gr</t>
  </si>
  <si>
    <t>ΝΕΑ  ΦΙΛΑΔΕΛΦΕΙΑ</t>
  </si>
  <si>
    <t>ΠΕΛΑΣΓΩΝ 16</t>
  </si>
  <si>
    <t>162ο  ΔΗΜΟΤΙΚΟ ΣΧΟΛΕΙΟ ΑΘΗΝΩΝ</t>
  </si>
  <si>
    <t>mail@162dim-athin.att.sch.gr</t>
  </si>
  <si>
    <t>ΖΗΝΟΔΩΡΟΥ 23  ΚΑΙ  ΙΦΙΓΕΝΕΙΑΣ</t>
  </si>
  <si>
    <t>150ο ΔΗΜΟΤΙΚΟ ΣΧΟΛΕΙΟ ΑΘΗΝΩΝ</t>
  </si>
  <si>
    <t>mail@150dim-athin.att.sch.gr</t>
  </si>
  <si>
    <t>ΚΟΔΡΙΓΚΤΩΝΟΣ 26</t>
  </si>
  <si>
    <t>44ο ΝΗΠΙΑΓΩΓΕΙΟ ΑΘΗΝΩΝ</t>
  </si>
  <si>
    <t>mail@44nip-athin.att.sch.gr</t>
  </si>
  <si>
    <t>5ο ΝΗΠΙΑΓΩΓΕΙΟ ΑΘΗΝΩΝ</t>
  </si>
  <si>
    <t>mail@5nip-athin.att.sch.gr</t>
  </si>
  <si>
    <t>Κεφαλά 22-28 &amp; Γούδα    -         Παράρτημα   Κ.Τσαλδάρη 17</t>
  </si>
  <si>
    <t>165ο  ΔΗΜΟΤΙΚΟ ΣΧΟΛΕΙΟ ΑΘΗΝΩΝ</t>
  </si>
  <si>
    <t>mail@165dim-athin.att.sch.gr</t>
  </si>
  <si>
    <t>91ο ΔΗΜΟΤΙΚΟ ΣΧΟΛΕΙΟ ΑΘΗΝΩΝ«ΜΙΚΗΣ ΘΕΟΔΩΡΑΚΗΣ»</t>
  </si>
  <si>
    <t>mail@91dim-athin.att.sch.gr</t>
  </si>
  <si>
    <t>ΦΙΛΟΛΑΟΥ 163</t>
  </si>
  <si>
    <t>1ο ΔΗΜΟΤΙΚΟ ΣΧΟΛΕΙΟ ΓΑΛΑΤΣΙΟΥ</t>
  </si>
  <si>
    <t>mail@1dim-galats.att.sch.gr</t>
  </si>
  <si>
    <t>59ο ΝΗΠΙΑΓΩΓΕΙΟ ΑΘΗΝΩΝ</t>
  </si>
  <si>
    <t>mail@59nip-athin.att.sch.gr</t>
  </si>
  <si>
    <t>101ο  ΔΗΜΟΤΙΚΟ ΣΧΟΛΕΙΟ ΑΘΗΝΩΝ</t>
  </si>
  <si>
    <t>mail@101dim-athin.att.sch.gr</t>
  </si>
  <si>
    <t>ΠΟΛΥΔΟΥΡΗ 4</t>
  </si>
  <si>
    <t>2ο ΔΗΜΟΤΙΚΟ ΣΧΟΛΕΙΟ ΓΑΛΑΤΣΙΟΥ</t>
  </si>
  <si>
    <t>mail@2dim-galats.att.sch.gr</t>
  </si>
  <si>
    <t>Δρυοπίδος 9</t>
  </si>
  <si>
    <t>3ο ΔΗΜΟΤΙΚΟ ΣΧΟΛΕΙΟ ΓΑΛΑΤΣΙΟΥ</t>
  </si>
  <si>
    <t>mail@3dim-galats.att.sch.gr</t>
  </si>
  <si>
    <t>5ο ΔΗΜΟΤΙΚΟ ΣΧΟΛΕΙΟ ΓΑΛΑΤΣΙΟΥ</t>
  </si>
  <si>
    <t>mail@5dim-galats.att.sch.gr</t>
  </si>
  <si>
    <t>ΟΡΦΑΝΙΔΟΥ 101</t>
  </si>
  <si>
    <t>56ο  ΝΗΠΙΑΓΩΓΕΙΟ ΑΘΗΝΩΝ</t>
  </si>
  <si>
    <t>mail@56nip-athin.att.sch.gr</t>
  </si>
  <si>
    <t>ΜΑΧΗΣ ΑΝΑΛΑΤΟΥ 70</t>
  </si>
  <si>
    <t>13ο ΔΗΜΟΤΙΚΟ ΣΧΟΛΕΙΟ ΑΘΗΝΩΝ</t>
  </si>
  <si>
    <t>mail@13dim-athin.att.sch.gr</t>
  </si>
  <si>
    <t>ΣΤΙΛΠΩΝΟΣ 38</t>
  </si>
  <si>
    <t>1ο ΝΗΠΙΑΓΩΓΕΙΟ Ν. ΦΙΛΑΔΕΛΦΕΙΑΣ</t>
  </si>
  <si>
    <t>mail@1nip-n-filad.att.sch.gr</t>
  </si>
  <si>
    <t>Ν. ΦΙΛΑΔΕΛΦΕΙΑΣ</t>
  </si>
  <si>
    <t>ΕΦΕΣΟΥ 1 ΚΑΙ Ν. ΤΡΥΠΙΑ</t>
  </si>
  <si>
    <t>1ο ΝΗΠΙΑΓΩΓΕΙΟ ΑΘΗΝΩΝ</t>
  </si>
  <si>
    <t>mail@1nip-athin.att.sch.gr</t>
  </si>
  <si>
    <t>ΠΡΟΜΠΟΝΑ 44</t>
  </si>
  <si>
    <t>75ο ΝΗΠΙΑΓΩΓΕΙΟ ΑΘΗΝΩΝ</t>
  </si>
  <si>
    <t>mail@75nip-athin.att.sch.gr</t>
  </si>
  <si>
    <t>ΧΑΝΣΕΝ ΚΑΙ ΤΣΙΛΛΕΡ 23</t>
  </si>
  <si>
    <t>81ο ΝΗΠΙΑΓΩΓΕΙΟ ΑΘΗΝΩΝ</t>
  </si>
  <si>
    <t>mail@81nip-athin.att.sch.gr</t>
  </si>
  <si>
    <t>110ο  ΝΗΠΙΑΓΩΓΕΙΟ ΑΘΗΝΩΝ</t>
  </si>
  <si>
    <t>mail@110nip-athin.att.sch.gr</t>
  </si>
  <si>
    <t>9ο  ΔΗΜΟΤΙΚΟ ΣΧΟΛΕΙΟ ΒΥΡΩΝΑ</t>
  </si>
  <si>
    <t>mail@9dim-vyron.att.sch.gr</t>
  </si>
  <si>
    <t>ΕΛΛΗΝΩΝ ΠΑΤΡΙΩΤΩΝ ΚΑΙ ΘΥΜΑΤΩΝ ΠΟΛΕΜΟΥ 27</t>
  </si>
  <si>
    <t>133ο ΝΗΠΙΑΓΩΓΕΙΟ ΑΘΗΝΩΝ</t>
  </si>
  <si>
    <t>mail@133nip-athin.att.sch.gr</t>
  </si>
  <si>
    <t>ΧΑΛΚΩΜΑΤΑΔΩΝ ΚΑΙ ΙΣΤΡΙΑΣ</t>
  </si>
  <si>
    <t>90ο ΔΗΜΟΤΙΚΟ ΣΧΟΛΕΙΟ ΑΘΗΝΩΝ</t>
  </si>
  <si>
    <t>mail@90dim-athin.att.sch.gr</t>
  </si>
  <si>
    <t>ΒΑΘΥΚΛΕΟΥΣ ΚΑΙ ΑΜΦΙΚΡΑΤΟΥΣ 6</t>
  </si>
  <si>
    <t>144ο ΝΗΠΙΑΓΩΓΕΙΟ ΑΘΗΝΩΝ</t>
  </si>
  <si>
    <t>mail@144nip-athin.att.sch.gr</t>
  </si>
  <si>
    <t>145ο ΝΗΠΙΑΓΩΓΕΙΟ ΑΘΗΝΩΝ</t>
  </si>
  <si>
    <t>mail@145nip-athin.att.sch.gr</t>
  </si>
  <si>
    <t>3ο  ΝΗΠΙΑΓΩΓΕΙΟ ΝΕΑΣ  ΦΙΛΑΔΕΛΦΕΙΑΣ</t>
  </si>
  <si>
    <t>mail@3nip-n-filad.att.sch.gr</t>
  </si>
  <si>
    <t>ΑΡΧΙΕΠ.ΧΡΥΣΟΣΤΟΜΟΥ  ΠΑΠΑΔΟΠΟΥΛΟΥ 16</t>
  </si>
  <si>
    <t>5ο ΝΗΠΙΑΓΩΓΕΙΟ Ν. ΦΙΛΑΔΕΛΦΕΙΑΣ</t>
  </si>
  <si>
    <t>mail@5nip-n-filad.att.sch.gr</t>
  </si>
  <si>
    <t>ΝΙΚΗΤΑΡΑ 26</t>
  </si>
  <si>
    <t>6ο ΝΗΠΙΑΓΩΓΕΙΟ Ν. ΦΙΛΑΔΕΛΦΕΙΑΣ</t>
  </si>
  <si>
    <t>mail@6nip-n-filad.att.sch.gr</t>
  </si>
  <si>
    <t>ΛΑΧΑΝΑ 3</t>
  </si>
  <si>
    <t>55ο ΔΗΜΟΤΙΚΟ ΣΧΟΛΕΙΟ ΑΘΗΝΩΝ</t>
  </si>
  <si>
    <t>mail@55dim-athin.att.sch.gr</t>
  </si>
  <si>
    <t>ΛΙΟΣΙΩΝ 42</t>
  </si>
  <si>
    <t>7ο  ΝΗΠΙΑΓΩΓΕΙΟ ΝΕΑΣ ΦΙΛΑΔΕΛΦΕΙΑΣ</t>
  </si>
  <si>
    <t>mail@7nip-n-filad.att.sch.gr</t>
  </si>
  <si>
    <t>ΠΙΝΔΟΥ 75</t>
  </si>
  <si>
    <t>120ο ΝΗΠΙΑΓΩΓΕΙΟ ΑΘΗΝΩΝ</t>
  </si>
  <si>
    <t>mail@120nip-athin.att.sch.gr</t>
  </si>
  <si>
    <t>ΚΕΔΡΗΝΟΥ ΚΑΙ ΤΣΕΛΙΟΥ</t>
  </si>
  <si>
    <t>9ο ΝΗΠΙΑΓΩΓΕΙΟ ΝΕΑΣ ΦΙΛΑΔΕΛΦΕΙΑΣ</t>
  </si>
  <si>
    <t>mail@9nip-n-filad.att.sch.gr</t>
  </si>
  <si>
    <t>ΤΥΑΝΝΩΝ ΚΑΙ ΜΑΙΑΝΔΡΟΥ 85</t>
  </si>
  <si>
    <t>2ο ΝΗΠΙΑΓΩΓΕΙΟ ΝΕΑΣ ΧΑΛΚΗΔΟΝΑΣ</t>
  </si>
  <si>
    <t>mail@2nip-n-chalk.att.sch.gr</t>
  </si>
  <si>
    <t>ΑΓ. ΑΝΑΡΓΥΡΩΝ 2</t>
  </si>
  <si>
    <t>16ο ΔΗΜΟΤΙΚΟ ΣΧΟΛΕΙΟ ΓΑΛΑΤΣΙΟΥ</t>
  </si>
  <si>
    <t>mail@16dim-galats.att.sch.gr</t>
  </si>
  <si>
    <t>96ο ΔΗΜΟΤΙΚΟ ΣΧΟΛΕΙΟ ΑΘΗΝΩΝ</t>
  </si>
  <si>
    <t>mail@96dim-athin.att.sch.gr</t>
  </si>
  <si>
    <t>ΦΩΤΟΜΑΡΑ 60</t>
  </si>
  <si>
    <t>90ο ΝΗΠΙΑΓΩΓΕΙΟ ΑΘΗΝΩΝ</t>
  </si>
  <si>
    <t>mail@90nip-athin.att.sch.gr</t>
  </si>
  <si>
    <t>43ο ΝΗΠΙΑΓΩΓΕΙΟ ΑΘΗΝΩΝ</t>
  </si>
  <si>
    <t>mail@43nip-athin.att.sch.gr</t>
  </si>
  <si>
    <t>8ο ΔΗΜΟΤΙΚΟ ΣΧΟΛΕΙΟ ΑΘΗΝΩΝ</t>
  </si>
  <si>
    <t>mail@8dim-athin.att.sch.gr</t>
  </si>
  <si>
    <t>4ο ΝΗΠΙΑΓΩΓΕΙΟ ΓΑΛΑΤΣΙΟΥ</t>
  </si>
  <si>
    <t>mail@4nip-galats.att.sch.gr</t>
  </si>
  <si>
    <t>15ο ΝΗΠΙΑΓΩΓΕΙΟ ΓΑΛΑΤΣΙΟΥ</t>
  </si>
  <si>
    <t>mail@15nip-galats.att.sch.gr</t>
  </si>
  <si>
    <t>101ο ΝΗΠΙΑΓΩΓΕΙΟ ΑΘΗΝΩΝ</t>
  </si>
  <si>
    <t>mail@101nip-athin.att.sch.gr</t>
  </si>
  <si>
    <t>132ο ΝΗΠΙΑΓΩΓΕΙΟ ΑΘΗΝΩΝ</t>
  </si>
  <si>
    <t>mail@132nip-athin.att.sch.gr</t>
  </si>
  <si>
    <t>Αθηνών</t>
  </si>
  <si>
    <t>Πόντου &amp; Αγ. Θωμά</t>
  </si>
  <si>
    <t>1ο ΝΗΠΙΑΓΩΓΕΙΟ ΝΕΑΣ ΧΑΛΚΗΔΟΝΑΣ</t>
  </si>
  <si>
    <t>mail@1nip-n-chalk.att.sch.gr</t>
  </si>
  <si>
    <t>ΝΕΑΣ ΧΑΛΚΗΔΟΝΑΣ</t>
  </si>
  <si>
    <t>ΓΡΗΓΟΡΙΟΥ Ε 1</t>
  </si>
  <si>
    <t>2ο ΔΗΜΟΤΙΚΟ ΣΧΟΛΕΙΟ ΑΘΗΝΩΝ</t>
  </si>
  <si>
    <t>mail@2dim-athin.att.sch.gr</t>
  </si>
  <si>
    <t>15ο ΝΗΠΙΑΓΩΓΕΙΟ ΑΘΗΝΩΝ</t>
  </si>
  <si>
    <t>mail@15nip-athin.att.sch.gr</t>
  </si>
  <si>
    <t>Π. ΚΥΡΙΑΚΟΥ 10</t>
  </si>
  <si>
    <t>5ο  ΔΗΜΟΤΙΚΟ ΣΧΟΛΕΙΟ ΒΥΡΩΝΑ</t>
  </si>
  <si>
    <t>mail@5dim-vyron.att.sch.gr</t>
  </si>
  <si>
    <t>57ο ΝΗΠΙΑΓΩΓΕΙΟ ΑΘΗΝΩΝ</t>
  </si>
  <si>
    <t>mail@57nip-athin.att.sch.gr</t>
  </si>
  <si>
    <t>129ο ΔΗΜΟΤΙΚΟ ΣΧΟΛΕΙΟ ΑΘΗΝΩΝ</t>
  </si>
  <si>
    <t>mail@129dim-athin.att.sch.gr</t>
  </si>
  <si>
    <t>92ο ΔΗΜΟΤΙΚΟ ΣΧΟΛΕΙΟ ΑΘΗΝΩΝ</t>
  </si>
  <si>
    <t>mail@92dim-athin.att.sch.gr</t>
  </si>
  <si>
    <t>127ο ΝΗΠΙΑΓΩΓΕΙΟ ΑΘΗΝΩΝ</t>
  </si>
  <si>
    <t>mail@127nip-athin.att.sch.gr</t>
  </si>
  <si>
    <t>14ο ΝΗΠΙΑΓΩΓΕΙΟ ΑΘΗΝΩΝ</t>
  </si>
  <si>
    <t>mail@14nip-athin.att.sch.gr</t>
  </si>
  <si>
    <t>ΣΙΝΑ 70</t>
  </si>
  <si>
    <t>45ο ΝΗΠΙΑΓΩΓΕΙΟ ΑΘΗΝΩΝ</t>
  </si>
  <si>
    <t>mail@45nip-athin.att.sch.gr</t>
  </si>
  <si>
    <t>ΠΥΘΕΟΥ ΚΑΙ ΑΓΚΥΛΗΣ</t>
  </si>
  <si>
    <t>73ο ΝΗΠΙΑΓΩΓΕΙΟ ΑΘΗΝΩΝ</t>
  </si>
  <si>
    <t>mail@73nip-athin.att.sch.gr</t>
  </si>
  <si>
    <t>15ο ΔΗΜΟΤΙΚΟ ΣΧΟΛΕΙΟ ΑΘΗΝΩΝ</t>
  </si>
  <si>
    <t>mail@15dim-athin.att.sch.gr</t>
  </si>
  <si>
    <t xml:space="preserve">ΑΘΗΝΑ </t>
  </si>
  <si>
    <t>94ο ΔΗΜΟΤΙΚΟ ΣΧΟΛΕΙΟ ΑΘΗΝΩΝ</t>
  </si>
  <si>
    <t>mail@94dim-athin.att.sch.gr</t>
  </si>
  <si>
    <t>86ο ΝΗΠΙΑΓΩΓΕΙΟ ΑΘΗΝΩΝ</t>
  </si>
  <si>
    <t>mail@86nip-athin.att.sch.gr</t>
  </si>
  <si>
    <t>ΚΡΟΤΩΝΟΣ 4</t>
  </si>
  <si>
    <t>25ο ΝΗΠΙΑΓΩΓΕΙΟ ΑΘΗΝΩΝ</t>
  </si>
  <si>
    <t>mail@25nip-athin.att.sch.gr</t>
  </si>
  <si>
    <t>ΣΟΥΚΑ -  ΧΟΡΜΟΠΟΥΛΟΥ 20</t>
  </si>
  <si>
    <t>50ο ΔΗΜΟΤΙΚΟ ΣΧΟΛΕΙΟ ΑΘΗΝΩΝ</t>
  </si>
  <si>
    <t>mail@50dim-athin.att.sch.gr</t>
  </si>
  <si>
    <t>ΑΡΙΣΤΟΜΕΝΟΥΣ 101</t>
  </si>
  <si>
    <t>111ο  ΔΗΜΟΤΙΚΟ ΣΧΟΛΕΙΟ ΑΘΗΝΩΝ</t>
  </si>
  <si>
    <t>mail@111dim-athin.att.sch.gr</t>
  </si>
  <si>
    <t>ΚΕΔΡΗΝΟΥ ΚΑΙ ΤΣΕΛΙΟΥ 1</t>
  </si>
  <si>
    <t>135ο ΝΗΠΙΑΓΩΓΕΙΟ ΑΘΗΝΩΝ</t>
  </si>
  <si>
    <t>mail@135nip-athin.att.sch.gr</t>
  </si>
  <si>
    <t>123ο  ΔΗΜΟΤΙΚΟ ΣΧΟΛΕΙΟ ΑΘΗΝΩΝ</t>
  </si>
  <si>
    <t>mail@123dim-athin.att.sch.gr</t>
  </si>
  <si>
    <t>ΑΜΦΙΚΡΑΤΟΥΣ 6</t>
  </si>
  <si>
    <t>141ο  ΝΗΠΙΑΓΩΓΕΙΟ ΑΘΗΝΩΝ</t>
  </si>
  <si>
    <t>mail@141nip-athin.att.sch.gr</t>
  </si>
  <si>
    <t>ΔΟΡΔΟΥ 41</t>
  </si>
  <si>
    <t>35ο ΔΗΜΟΤΙΚΟ ΣΧΟΛΕΙΟ ΑΘΗΝΩΝ</t>
  </si>
  <si>
    <t>mail@35dim-athin.att.sch.gr</t>
  </si>
  <si>
    <t>ΚΩΛΕΤΤΗ 34</t>
  </si>
  <si>
    <t>21ο ΝΗΠΙΑΓΩΓΕΙΟ ΑΘΗΝΩΝ</t>
  </si>
  <si>
    <t>mail@21nip-athin.att.sch.gr</t>
  </si>
  <si>
    <t>19ο  ΝΗΠΙΑΓΩΓΕΙΟ ΑΘΗΝΩΝ</t>
  </si>
  <si>
    <t>mail@19nip-athin.att.sch.gr</t>
  </si>
  <si>
    <t>ΡΑΓΚΑΒΗ 84</t>
  </si>
  <si>
    <t>111ο  ΝΗΠΙΑΓΩΓΕΙΟ ΑΘΗΝΩΝ</t>
  </si>
  <si>
    <t>mail@111nip-athin.att.sch.gr</t>
  </si>
  <si>
    <t>32ο ΝΗΠΙΑΓΩΓΕΙΟ ΑΘΗΝΩΝ</t>
  </si>
  <si>
    <t>mail@32nip-athin.att.sch.gr</t>
  </si>
  <si>
    <t>ΓΡΑΜΜΟΥ 21</t>
  </si>
  <si>
    <t>9ο ΔΗΜΟΤΙΚΟ ΣΧΟΛΕΙΟ ΑΘΗΝΩΝ</t>
  </si>
  <si>
    <t>mail@9dim-athin.att.sch.gr</t>
  </si>
  <si>
    <t>ΕΥΦΡΟΝΙΟΥ 81 ΚΑΙ ΜΠΙΓΛΙΣΤΑΣ 2</t>
  </si>
  <si>
    <t>10ο ΔΗΜΟΤΙΚΟ ΣΧΟΛΕΙΟ ΑΘΗΝΩΝ</t>
  </si>
  <si>
    <t>mail@10dim-athin.att.sch.gr</t>
  </si>
  <si>
    <t>ΖΑΓΟΡΑΣ 18</t>
  </si>
  <si>
    <t>27ο ΔΗΜΟΤΙΚΟ ΣΧΟΛΕΙΟ ΑΘΗΝΩΝ</t>
  </si>
  <si>
    <t>mail@27dim-athin.att.sch.gr</t>
  </si>
  <si>
    <t>16ο ΔΗΜΟΤΙΚΟ ΣΧΟΛΕΙΟ ΑΘΗΝΩΝ</t>
  </si>
  <si>
    <t>mail@16dim-athin.att.sch.gr</t>
  </si>
  <si>
    <t>Τ. ΦΙΛΗΜΟΝΟΣ 19</t>
  </si>
  <si>
    <t>12ο ΝΗΠΙΑΓΩΓΕΙΟ ΓΑΛΑΤΣΙΟΥ</t>
  </si>
  <si>
    <t>mail@12nip-galats.att.sch.gr</t>
  </si>
  <si>
    <t>ΧΡ. ΛΑΔΑ 12</t>
  </si>
  <si>
    <t>102ο ΔΗΜΟΤΙΚΟ ΣΧΟΛΕΙΟ ΑΘΗΝΩΝ</t>
  </si>
  <si>
    <t>mail@102dim-athin.att.sch.gr</t>
  </si>
  <si>
    <t>ΒΑΦΕΙΟΧΩΡΙΟΥ 25</t>
  </si>
  <si>
    <t>89ο  ΔΗΜΟΤΙΚΟ ΣΧΟΛΕΙΟ ΑΘΗΝΩΝ</t>
  </si>
  <si>
    <t>mail@89dim-athin.att.sch.gr</t>
  </si>
  <si>
    <t>93ο ΔΗΜΟΤΙΚΟ ΣΧΟΛΕΙΟ ΑΘΗΝΩΝ-ΓΡΗΓΟΡΗΣ ΛΑΜΠΡΑΚΗΣ</t>
  </si>
  <si>
    <t>mail@93dim-athin.att.sch.gr</t>
  </si>
  <si>
    <t>ΠΥΘΕΟΥ 9</t>
  </si>
  <si>
    <t>14ο ΔΗΜΟΤΙΚΟ ΣΧΟΛΕΙΟ ΑΘΗΝΩΝ - ΔΗΜΗΤΡΗΣ ΠΙΚΙΩΝΗΣ</t>
  </si>
  <si>
    <t>mail@14dim-athin.att.sch.gr</t>
  </si>
  <si>
    <t>74ο ΔΗΜΟΤΙΚΟ ΣΧΟΛΕΙΟ ΑΘΗΝΩΝ</t>
  </si>
  <si>
    <t>mail@74dim-athin.att.sch.gr</t>
  </si>
  <si>
    <t>ΑΔΡΙΑΝΟΥ 106-108</t>
  </si>
  <si>
    <t>3ο ΝΗΠΙΑΓΩΓΕΙΟ ΔΑΦΝΗΣ</t>
  </si>
  <si>
    <t>mail@3nip-dafnis.att.sch.gr</t>
  </si>
  <si>
    <t>ΑΛ. ΠΑΠΑΝΑΣΤΑΣΙΟΥ 74</t>
  </si>
  <si>
    <t>148ο ΝΗΠΙΑΓΩΓΕΙΟ ΑΘΗΝΩΝ</t>
  </si>
  <si>
    <t>mail@148nip-athin.att.sch.gr</t>
  </si>
  <si>
    <t>ΑΘΗ</t>
  </si>
  <si>
    <t>7ο ΝΗΠΙΑΓΩΓΕΙΟ ΚΑΙΣΑΡΙΑΝΗΣ</t>
  </si>
  <si>
    <t>mail@7nip-kaisar.att.sch.gr</t>
  </si>
  <si>
    <t>ΛΕΩΝΙΔΑ ΜΑΝΩΛΙΔΗ 5</t>
  </si>
  <si>
    <t>151ο ΝΗΠΙΑΓΩΓΕΙΟ ΑΘΗΝΩΝ</t>
  </si>
  <si>
    <t>mail@151nip-athin.att.sch.gr</t>
  </si>
  <si>
    <t>ΡΑΙΔΕΣΤΟΥ ΚΑΙ ΙΩΑΝΝΙΝΩΝ</t>
  </si>
  <si>
    <t>12ο  ΔΗΜΟΤΙΚΟ ΣΧΟΛΕΙΟ ΒΥΡΩΝΑ</t>
  </si>
  <si>
    <t>mail@12dim-vyron.att.sch.gr</t>
  </si>
  <si>
    <t>ΙΑΚΩΒΟΥ ΜΕΡΚΟΥΡΙΑΔΗ 20  ΚΑΙ ΣΙΒΡΙΣΣΑΡΙΟΥ</t>
  </si>
  <si>
    <t>152ο ΝΗΠΙΑΓΩΓΕΙΟ ΑΘΗΝΩΝ</t>
  </si>
  <si>
    <t>mail@152nip-athin.att.sch.gr</t>
  </si>
  <si>
    <t>Α Αθήνας</t>
  </si>
  <si>
    <t>Στρατηγού Δαγκλή &amp; Ζερβουδάκη</t>
  </si>
  <si>
    <t>153ο ΝΗΠΙΑΓΩΓΕΙΟ ΑΘΗΝΩΝ</t>
  </si>
  <si>
    <t>mail@153nip-athin.att.sch.gr</t>
  </si>
  <si>
    <t>Κάτω Πατήσια, Αθήνα</t>
  </si>
  <si>
    <t>Ιακωβάτων και Δημητρίου Ράλλη</t>
  </si>
  <si>
    <t>155ο ΝΗΠΙΑΓΩΓΕΙΟ ΑΘΗΝΩΝ</t>
  </si>
  <si>
    <t>mail@155nip-athin.att.sch.gr</t>
  </si>
  <si>
    <t>Κυψέλη</t>
  </si>
  <si>
    <t>Κρίσσης και Φαέθοντος</t>
  </si>
  <si>
    <t>156ο ΝΗΠΙΑΓΩΓΕΙΟ ΑΘΗΝΩΝ</t>
  </si>
  <si>
    <t>mail@156nip-athin.att.sch.gr</t>
  </si>
  <si>
    <t>Σούκα και Κουρμά 9</t>
  </si>
  <si>
    <t>Π.Ε. ΑΝΑΤΟΛΙΚΗΣ ΑΤΤΙΚΗΣ</t>
  </si>
  <si>
    <t>1ο  ΔΗΜΟΤΙΚΟ ΣΧΟΛΕΙΟ ΑΧΑΡΝΩΝ</t>
  </si>
  <si>
    <t>mail@1dim-acharn.att.sch.gr</t>
  </si>
  <si>
    <t>ΑΧΑΡΝΩΝ</t>
  </si>
  <si>
    <t>ΑΧΑΡΝΕΣ</t>
  </si>
  <si>
    <t>ΗΡΩΩΝ ΠΟΛΥΤΕΧΝΕΙΟΥ 12</t>
  </si>
  <si>
    <t>1ο ΝΗΠΙΑΓΩΓΕΙΟ ΑΧΑΡΝΩΝ</t>
  </si>
  <si>
    <t>mail@1nip-acharn.att.sch.gr</t>
  </si>
  <si>
    <t>ΚΩΝΣΤΑΝΤΙΝΟΥΠΟΛΕΩΣ  315 ΚΑΙ ΔΗΜΟΚΡΙΤΟΥ 1 Α</t>
  </si>
  <si>
    <t>22ο ΝΗΠΙΑΓΩΓΕΙΟ ΑΧΑΡΝΩΝ</t>
  </si>
  <si>
    <t>mail@22nip-acharn.att.sch.gr</t>
  </si>
  <si>
    <t>ΑΘΗΝΑΣ  ΥΓΕΙΑΣ ΕΡΓ. ΚΑΤΟΙΚΙΕΣ</t>
  </si>
  <si>
    <t>13ο ΝΗΠΙΑΓΩΓΕΙΟ ΑΧΑΡΝΩΝ</t>
  </si>
  <si>
    <t>mail@13nip-acharn.att.sch.gr</t>
  </si>
  <si>
    <t>ΕΣΠΕΡΙΔΩΝ 25,</t>
  </si>
  <si>
    <t>2ο ΔΗΜΟΤΙΚΟ ΣΧΟΛΕΙΟ ΚΟΡΩΠΙΟΥ</t>
  </si>
  <si>
    <t>mail@2dim-korop.att.sch.gr</t>
  </si>
  <si>
    <t>ΚΡΩΠΙΑΣ</t>
  </si>
  <si>
    <t>ΚΟΡΩΠΙ</t>
  </si>
  <si>
    <t>ΒΑΣΙΛΕΩΣ ΚΩΝΣΤΑΝΤΙΝΟΥ 298</t>
  </si>
  <si>
    <t>3ο ΝΗΠΙΑΓΩΓΕΙΟ ΑΡΤΕΜΙΔΟΣ</t>
  </si>
  <si>
    <t>mail@3nip-artem.att.sch.gr</t>
  </si>
  <si>
    <t>ΣΠΑΤΩΝ - ΑΡΤΕΜΙΔΟΣ</t>
  </si>
  <si>
    <t>ΑΡΤΕΜΙΔΟΣ</t>
  </si>
  <si>
    <t>Λ. ΒΡΑΥΡΩΝΟΣ  85 κ΄ΑΓ ΚΩΝΣΤΑΝΤΙΝΟΥ</t>
  </si>
  <si>
    <t>1ο ΝΗΠΙΑΓΩΓΕΙΟ ΓΕΡΑΚΑ</t>
  </si>
  <si>
    <t>mail@1nip-gerak.att.sch.gr</t>
  </si>
  <si>
    <t>ΠΑΛΛΗΝΗΣ</t>
  </si>
  <si>
    <t>ΓΕΡΑΚΑ</t>
  </si>
  <si>
    <t>ΚΑΡΔΙΤΣΗΣ 1</t>
  </si>
  <si>
    <t>2ο  ΝΗΠΙΑΓΩΓΕΙΟ ΓΕΡΑΚΑ</t>
  </si>
  <si>
    <t>mail@2nip-gerak.att.sch.gr</t>
  </si>
  <si>
    <t>ΓΑΡΓΗΤΤΟΥ 83</t>
  </si>
  <si>
    <t>2ο ΝΗΠΙΑΓΩΓΕΙΟ ΑΧΑΡΝΩΝ</t>
  </si>
  <si>
    <t>mail@2nip-acharn.att.sch.gr</t>
  </si>
  <si>
    <t>ΚΑΠΕΤΑΝ ΚΑΡΑΤΖΑ 15</t>
  </si>
  <si>
    <t>4ο ΝΗΠΙΑΓΩΓΕΙΟ ΓΕΡΑΚΑ</t>
  </si>
  <si>
    <t>mail@4nip-gerak.att.sch.gr</t>
  </si>
  <si>
    <t>ΙΑΣΟΝΑ &amp; ΛΕΩΝΙΔΑ</t>
  </si>
  <si>
    <t>5ο ΝΗΠΙΑΓΩΓΕΙΟ ΓΕΡΑΚΑ</t>
  </si>
  <si>
    <t>mail@5nip-gerak.att.sch.gr</t>
  </si>
  <si>
    <t>ΣΟΥΤΣΟΥ ΚΑΙ ΠΟΛΥΛΑ</t>
  </si>
  <si>
    <t>3ο ΝΗΠΙΑΓΩΓΕΙΟ ΓΛΥΚΩΝ ΝΕΡΩΝ</t>
  </si>
  <si>
    <t>mail@3nip-gl-neron.att.sch.gr</t>
  </si>
  <si>
    <t>ΠΑΙΑΝΙΑΣ</t>
  </si>
  <si>
    <t>ΓΛΥΚΩΝ ΝΕΡΩΝ</t>
  </si>
  <si>
    <t>ΚΩΝΣΤΑΝΤΙΝΟΥ ΑΝΔΡΙΚΟΥ  26</t>
  </si>
  <si>
    <t>6ο ΝΗΠΙΑΓΩΓΕΙΟ ΠΑΛΛΗΝΗΣ</t>
  </si>
  <si>
    <t>mail@6nip-pallin.att.sch.gr</t>
  </si>
  <si>
    <t>ΕΡΑΤΟΥΣ ΚΑΙ ΘΡΑΚΗΣ ΠΑΝΟΡΑΜΑ ΠΑΛΛΗΝΗΣ</t>
  </si>
  <si>
    <t>3ο  ΝΗΠΙΑΓΩΓΕΙΟ ΡΑΦΗΝΑΣ</t>
  </si>
  <si>
    <t>mail@3nip-rafin.att.sch.gr</t>
  </si>
  <si>
    <t>ΡΑΦΗΝΑΣ - ΠΙΚΕΡΜΙΟΥ</t>
  </si>
  <si>
    <t>ΡΑΦΗΝΑΣ</t>
  </si>
  <si>
    <t>ΒΕΡΓΙΝΑΣ Κ΄ΑΡΙΑΔΝΗΣ ΠΑΡΟΔΟΣ Λ. ΔΗΜΟΚΡΑΤΙΑΣ ΘΕΣΗ ΚΙΟΥΠΙ</t>
  </si>
  <si>
    <t>2ο ΝΗΠΙΑΓΩΓΕΙΟ ΠΑΛΛΗΝΗΣ</t>
  </si>
  <si>
    <t>mail@2nip-pallin.att.sch.gr</t>
  </si>
  <si>
    <t>ΚΡΗΤΗΣ  6</t>
  </si>
  <si>
    <t>7ο ΝΗΠΙΑΓΩΓΕΙΟ ΠΑΛΛΗΝΗΣ</t>
  </si>
  <si>
    <t>mail@7nip-pallin.att.sch.gr</t>
  </si>
  <si>
    <t>Παλλήνη</t>
  </si>
  <si>
    <t>ΑΓΙΑΣ ΣΟΦΙΑΣ &amp; Ν.ΜΙΛΗΣΗ ΑΝΩ ΜΠΑΛΑΝΑ, 15351 ΠΑΛΛΗΝΗ</t>
  </si>
  <si>
    <t>3ο ΝΗΠΙΑΓΩΓΕΙΟ ΓΕΡΑΚΑ</t>
  </si>
  <si>
    <t>mail@3nip-gerak.att.sch.gr</t>
  </si>
  <si>
    <t>ΜΙΑΟΥΛΗ &amp; ΓΚΟΥΡΑ</t>
  </si>
  <si>
    <t>8ο ΝΗΠΙΑΓΩΓΕΙΟ ΠΑΛΛΗΝΗΣ</t>
  </si>
  <si>
    <t>mail@8nip-pallin.att.sch.gr</t>
  </si>
  <si>
    <t>ΦΛΕΜΙΝΓΚ 15</t>
  </si>
  <si>
    <t>4ο  ΔΗΜΟΤΙΚΟ ΣΧΟΛΕΙΟ ΑΧΑΡΝΩΝ</t>
  </si>
  <si>
    <t>mail@4dim-acharn.att.sch.gr</t>
  </si>
  <si>
    <t>Αχαρνές</t>
  </si>
  <si>
    <t>ΑΓΙΟΥ ΚΩΝΣΤΑΝΤΙΝΟΥ ΚΑΙ ΕΛΕΝΗΣ 49</t>
  </si>
  <si>
    <t>3ο ΝΗΠΙΑΓΩΓΕΙΟ ΒΑΡΗΣ</t>
  </si>
  <si>
    <t>mail@3nip-varis.att.sch.gr</t>
  </si>
  <si>
    <t>ΒΑΡΗΣ - ΒΟΥΛΑΣ - ΒΟΥΛΙΑΓΜΕΝΗΣ</t>
  </si>
  <si>
    <t>ΒΑΡΗ</t>
  </si>
  <si>
    <t>ΣΦΑΚΤΗΡΙΑΣ 19Α</t>
  </si>
  <si>
    <t>2ο ΔΗΜΟΤΙΚΟ ΣΧΟΛΕΙΟ ΠΑΙΑΝΙΑΣ</t>
  </si>
  <si>
    <t>mail@2dim-paian.att.sch.gr</t>
  </si>
  <si>
    <t>Παιανία,</t>
  </si>
  <si>
    <t>ΚΥΠΡΟΥ ΚΑΙ ΑΝΘΗΡΟΥ</t>
  </si>
  <si>
    <t>1ο  ΝΗΠΙΑΓΩΓΕΙΟ ΓΛΥΚΩΝ ΝΕΡΩΝ</t>
  </si>
  <si>
    <t>mail@1nip-g-neron.att.sch.gr</t>
  </si>
  <si>
    <t>Π. ΝΙΡΒΑΝΑ 4</t>
  </si>
  <si>
    <t>3ο  ΝΗΠΙΑΓΩΓΕΙΟ ΠΑΛΛΗΝΗΣ</t>
  </si>
  <si>
    <t>mail@3nip-pallin.att.sch.gr</t>
  </si>
  <si>
    <t>αρμοδιου 9</t>
  </si>
  <si>
    <t>ΝΗΠΙΑΓΩΓΕΙΟ ΠΙΚΕΡΜΙΟΥ</t>
  </si>
  <si>
    <t>mail@nip-pikerm.att.sch.gr</t>
  </si>
  <si>
    <t>ΠΙΚΕΡΜΙΟΥ</t>
  </si>
  <si>
    <t>ΙΕΡΕΩΣ ΚΟΝΤΟΡΑΒΔΗ 9</t>
  </si>
  <si>
    <t>1ο ΝΗΠΙΑΓΩΓΕΙΟ ΣΠΑΤΩΝ</t>
  </si>
  <si>
    <t>mail@1nip-spaton.att.sch.gr</t>
  </si>
  <si>
    <t>ΣΠΑΤΩΝ</t>
  </si>
  <si>
    <t>ΑΣΚΛΗΠΙΟΥ 1</t>
  </si>
  <si>
    <t>2ο ΝΗΠΙΑΓΩΓΕΙΟ ΣΠΑΤΩΝ</t>
  </si>
  <si>
    <t>mail@2nip-spaton.att.sch.gr</t>
  </si>
  <si>
    <t>ΣΠΑΤΑ</t>
  </si>
  <si>
    <t>ΠΕΣΟΝΤΩΝ ΗΡΩΩΝ  11</t>
  </si>
  <si>
    <t>1ο  ΔΗΜΟΤΙΚΟ ΣΧΟΛΕΙΟ ΓΛΥΚΩΝ ΝΕΡΩΝ</t>
  </si>
  <si>
    <t>mail@1dim-glykon.att.sch.gr</t>
  </si>
  <si>
    <t>ΓΛΥΚA ΝΕΡA,</t>
  </si>
  <si>
    <t>ΑΔ. ΚΟΡΑΗ 35 ΚΑΙ ΚΑΡΑΪΣΚΑΚΗ</t>
  </si>
  <si>
    <t>4ο ΔΗΜΟΤΙΚΟ ΣΧΟΛΕΙΟ ΑΡΤΕΜΙΔΟΣ</t>
  </si>
  <si>
    <t>mail@4dim-artem.att.sch.gr</t>
  </si>
  <si>
    <t>ΑΡΤΕΜΙΔΑ</t>
  </si>
  <si>
    <t>ΑΝΔΡΟΥ 8 &amp; Λ. ΒΡΑΥΡΩΝΟΣ</t>
  </si>
  <si>
    <t>ΔΗΜΟΤΙΚΟ ΣΧΟΛΕΙΟ ΑΝΘΟΥΣΑΣ ΑΤΤΙΚΗΣ</t>
  </si>
  <si>
    <t>mail@dim-anthous.att.sch.gr</t>
  </si>
  <si>
    <t>ΑΝΘΟΥΣΑ</t>
  </si>
  <si>
    <t>ΞΑΝΘΗΣ ΚΑΙ ΚΑΛΑΒΡΥΤΩΝ</t>
  </si>
  <si>
    <t>1ο  ΔΗΜΟΤΙΚΟ ΣΧΟΛΕΙΟ ΘΡΑΚΟΜΑΚΕΔΟΝΩΝ</t>
  </si>
  <si>
    <t>mail@dim-thrak.att.sch.gr</t>
  </si>
  <si>
    <t>ΘΡΑΚΟΜΑΚΕΔΟΝΕΣ</t>
  </si>
  <si>
    <t>ΕΜΜΑΝΟΥΗΛ ΠΑΠΠΑ 66</t>
  </si>
  <si>
    <t>1ο ΔΗΜΟΤΙΚΟ ΣΧΟΛΕΙΟ ΓΕΡΑΚΑ</t>
  </si>
  <si>
    <t>mail@1dim-gerak.att.sch.gr</t>
  </si>
  <si>
    <t>ΓΕΡΑΚΑΣ</t>
  </si>
  <si>
    <t>Δράμας και Λακωνίας</t>
  </si>
  <si>
    <t>4ο  ΔΗΜΟΤΙΚΟ ΣΧΟΛΕΙΟ ΠΑΙΑΝΙΑΣ</t>
  </si>
  <si>
    <t>mail@4dim-paian.att.sch.gr</t>
  </si>
  <si>
    <t>ΠΑΙΑΝΙΑ</t>
  </si>
  <si>
    <t>ΚΥΠΡΟΥ - ΑΓ. ΑΝΔΡΕΑΣ</t>
  </si>
  <si>
    <t>3ο  ΔΗΜΟΤΙΚΟ ΣΧΟΛΕΙΟ ΑΧΑΡΝΩΝ</t>
  </si>
  <si>
    <t>mail@3dim-acharn.att.sch.gr</t>
  </si>
  <si>
    <t>ΑΧΑΡΝΑΙ</t>
  </si>
  <si>
    <t>7ο ΔΗΜΟΤΙΚΟ ΣΧΟΛΕΙΟ ΑΧΑΡΝΩΝ</t>
  </si>
  <si>
    <t>mail@7dim-acharn.att.sch.gr</t>
  </si>
  <si>
    <t>ΩΡΑΙΟΚΑΣΤΡΟΥ 1</t>
  </si>
  <si>
    <t>2ο ΔΗΜΟΤΙΚΟ ΣΧΟΛΕΙΟ ΓΕΡΑΚΑ</t>
  </si>
  <si>
    <t>mail@2dim-gerak.att.sch.gr</t>
  </si>
  <si>
    <t>ΔΗΜΟΤΙΚΟ ΣΧΟΛΕΙΟ ΚΑΤΩ ΣΟΥΛΙΟΥ-ΜΑΡΑΘΩΝΑ</t>
  </si>
  <si>
    <t>mail@dim-kat-souliou.att.sch.gr</t>
  </si>
  <si>
    <t>ΜΑΡΑΘΩΝΟΣ</t>
  </si>
  <si>
    <t>ΚΑΤΩ ΣΟΥΛΙ-ΜΑΡΑΘΩΝΑ</t>
  </si>
  <si>
    <t>ΚΩΝΣΤΑΝΤΙΝΟΥ ΜΠΕΝΑΚΗ 13</t>
  </si>
  <si>
    <t>1ο ΔΗΜΟΤΙΚΟ ΣΧΟΛΕΙΟ ΑΝΑΒΥΣΣΟΥ</t>
  </si>
  <si>
    <t>mail@dim-anavyss.att.sch.gr</t>
  </si>
  <si>
    <t>ΣΑΡΩΝΙΚΟΥ</t>
  </si>
  <si>
    <t>Ανάβυσσος</t>
  </si>
  <si>
    <t>ΛΕΩΦΟΡΟΣ ΚΑΡΑΜΑΝΛΗ</t>
  </si>
  <si>
    <t>1ο  ΝΗΠΙΑΓΩΓΕΙΟ ΑΝΑΒΥΣΣΟΥ</t>
  </si>
  <si>
    <t>mail@1nip-anavyss.att.sch.gr</t>
  </si>
  <si>
    <t>ΑΝΑΒΥΣΣΟΥ</t>
  </si>
  <si>
    <t>ΝΙΚ. ΠΛΑΣΤΗΡΑ 11</t>
  </si>
  <si>
    <t>1ο ΝΗΠΙΑΓΩΓΕΙΟ ΚΟΡΩΠΙΟΥ</t>
  </si>
  <si>
    <t>mail@1nip-korop.att.sch.gr</t>
  </si>
  <si>
    <t>ΚΟΡΩΠΙΟΥ</t>
  </si>
  <si>
    <t>ΙΩΑΝΝΗ ΓΚΙΟΚΑ 19</t>
  </si>
  <si>
    <t>4ο ΝΗΠΙΑΓΩΓΕΙΟ ΚΑΛΥΒΙΩΝ</t>
  </si>
  <si>
    <t>mail@4nip-kalyv.att.sch.gr</t>
  </si>
  <si>
    <t>ΚΑΛΥΒΙΑ</t>
  </si>
  <si>
    <t>ΟΛΥΜΠΟΥ ΚΑΙ ΚΟΥΝΤΟΥΡΙΩΤΗ</t>
  </si>
  <si>
    <t>2ο ΝΗΠΙΑΓΩΓΕΙΟ ΜΑΡΚΟΠΟΥΛΟΥ</t>
  </si>
  <si>
    <t>mail@2nip-markop.att.sch.gr</t>
  </si>
  <si>
    <t>ΜΑΡΚΟΠΟΥΛΟΥ ΜΕΣΟΓΑΙΑΣ</t>
  </si>
  <si>
    <t>ΜΑΡΚΟΠΟΥΛΟΥ ΜΕΣΟΓΑΙΑΣ ΑΤΤΙΚΗΣ</t>
  </si>
  <si>
    <t>Γ. ΠΙΝΗ 23</t>
  </si>
  <si>
    <t>1ο  ΝΗΠΙΑΓΩΓΕΙΟ ΚΕΡΑΤΕΑΣ</t>
  </si>
  <si>
    <t>mail@1nip-kerat.att.sch.gr</t>
  </si>
  <si>
    <t>ΛΑΥΡΕΩΤΙΚΗΣ</t>
  </si>
  <si>
    <t>ΚΕΡΑΤΕΑΣ</t>
  </si>
  <si>
    <t>ΤΡΟΙΑΣ 1</t>
  </si>
  <si>
    <t>1ο ΝΗΠΙΑΓΩΓΕΙΟ ΠΑΙΑΝΙΑΣ</t>
  </si>
  <si>
    <t>mail@1nip-paian.att.sch.gr</t>
  </si>
  <si>
    <t>ΠΕΔΟΥΛΑ ΚΥΠΡΟΥ 20 ΚΑΙ ΑΓΙΑΣ ΤΡΙΑΔΟΣ</t>
  </si>
  <si>
    <t>ΔΗΜΟΤΙΚΟ ΣΧΟΛΕΙΟ ΒΟΥΛΙΑΓΜΕΝΗΣ</t>
  </si>
  <si>
    <t>mail@dim-vouliagm.att.sch.gr</t>
  </si>
  <si>
    <t>ΒΟΥΛΙΑΓΜΕΝΗ</t>
  </si>
  <si>
    <t>ΙΑΣΟΝΟΣ 54</t>
  </si>
  <si>
    <t>2ο ΝΗΠΙΑΓΩΓΕΙΟ ΝΕΑΣ ΜΑΚΡΗΣ</t>
  </si>
  <si>
    <t>mail@2nip-n-makris.att.sch.gr</t>
  </si>
  <si>
    <t>ΝΕΑΣ ΜΑΚΡΗΣ</t>
  </si>
  <si>
    <t>ΑΓΙΑΣ ΠΑΡΑΣΚΕΥΗΣ ΚΑΙ ΚΑΡΑΓΕΩΡΓΙΟΥ 1</t>
  </si>
  <si>
    <t>1ο ΝΗΠΙΑΓΩΓΕΙΟ ΝΕΑΣ ΜΑΚΡΗΣ</t>
  </si>
  <si>
    <t>mail@1nip-n-makris.att.sch.gr</t>
  </si>
  <si>
    <t>ΑΓΙΑΣ ΠΑΡΑΣΚΕΥΗΣ 7</t>
  </si>
  <si>
    <t>3ο ΝΗΠΙΑΓΩΓΕΙΟ ΚΕΡΑΤΕΑΣ</t>
  </si>
  <si>
    <t>mail@3nip-kerat.att.sch.gr</t>
  </si>
  <si>
    <t>ΣΤΑΜΑΤΙΟΥ ΡΩΜΑ 6</t>
  </si>
  <si>
    <t>3ο ΝΗΠΙΑΓΩΓΕΙΟ ΚΟΡΩΠΙΟΥ</t>
  </si>
  <si>
    <t>mail@3nip-korop.att.sch.gr</t>
  </si>
  <si>
    <t>ΑΝΔΡΟΥΤΣΟΥ 7</t>
  </si>
  <si>
    <t>1ο ΔΗΜΟΤΙΚΟ ΣΧΟΛΕΙΟ ΠΑΙΑΝΙΑΣ</t>
  </si>
  <si>
    <t>mail@1dim-paian.att.sch.gr</t>
  </si>
  <si>
    <t>Παιανία</t>
  </si>
  <si>
    <t>Γ.ΚΑΤΣΙΜΙΧΑ</t>
  </si>
  <si>
    <t>1ο  ΔΗΜΟΤΙΚΟ ΣΧΟΛΕΙΟ ΒΑΡΚΙΖΑΣ</t>
  </si>
  <si>
    <t>mail@dim-varkiz.att.sch.gr</t>
  </si>
  <si>
    <t>ΒΑΡΚΙΖΑ</t>
  </si>
  <si>
    <t>ΤΙΤΑΝΩΝ 14</t>
  </si>
  <si>
    <t>1ο ΝΗΠΙΑΓΩΓΕΙΟ ΚΙΤΣΙΟΥ</t>
  </si>
  <si>
    <t>mail@nip-kitsiou.att.sch.gr</t>
  </si>
  <si>
    <t>ΚΙΤΣΙΟΥ</t>
  </si>
  <si>
    <t>ΣΤΑΜΑΤΙΟΥ ΓΚΙΚΑ 2</t>
  </si>
  <si>
    <t>ΝΗΠΙΑΓΩΓΕΙΟ ΑΝΘΟΥΣΑΣ</t>
  </si>
  <si>
    <t>mail@nip-anthous.att.sch.gr</t>
  </si>
  <si>
    <t>ΑΝΘΟΥΣΑΣ</t>
  </si>
  <si>
    <t>ΖΑΚΥΝΘΟΥ</t>
  </si>
  <si>
    <t>2ο ΝΗΠΙΑΓΩΓΕΙΟ ΠΟΡΤΟ-ΡΑΦΤΗ</t>
  </si>
  <si>
    <t>mail@2nip-porto-rafti.att.sch.gr</t>
  </si>
  <si>
    <t>ΠΟΡΤΟ-ΡΑΦΤΗ</t>
  </si>
  <si>
    <t>ΑΓΙΟΥ ΝΙΚΟΛΑΟΥ ΚΑΙ 25ης ΜΑΡΤΙΟΥ</t>
  </si>
  <si>
    <t>3ο ΝΗΠΙΑΓΩΓΕΙΟ ΒΟΥΛΑΣ</t>
  </si>
  <si>
    <t>mail@3nip-voulas.att.sch.gr</t>
  </si>
  <si>
    <t>ΒΟΥΛΑΣ</t>
  </si>
  <si>
    <t>ΠΡΟΟΔΟΥ 22 ΚΑΙ ΔΗΜΗΤΡΑΚΟΠΟΥΛΟΥ</t>
  </si>
  <si>
    <t>7ο  ΔΗΜΟΤΙΚΟ ΣΧΟΛΕΙΟ ΠΑΛΛΗΝΗΣ</t>
  </si>
  <si>
    <t>mail@7dim-pallin.att.sch.gr</t>
  </si>
  <si>
    <t>ΠΑΛΛΗΝΗ</t>
  </si>
  <si>
    <t>ΜΙΛΗΣΗ &amp; ΑΓ. ΣΟΦΙΑΣ</t>
  </si>
  <si>
    <t>3ο ΝΗΠΙΑΓΩΓΕΙΟ ΛΑΥΡΙΟΥ</t>
  </si>
  <si>
    <t>mail@3nip-lavriou.att.sch.gr</t>
  </si>
  <si>
    <t>ΛΑΥΡΙΟΥ</t>
  </si>
  <si>
    <t>ΠΑΝΑΓΙΩΤΗ ΚΟΚΟΡΕ</t>
  </si>
  <si>
    <t>ΝΗΠΙΑΓΩΓΕΙΟ ΑΓΙΑΣ ΜΑΡΙΝΑΣ ΚΟΡΩΠΙΟΥ</t>
  </si>
  <si>
    <t>mail@nip-ag-marin-korop.att.sch.gr</t>
  </si>
  <si>
    <t>ΑΓΙΑΣ ΜΑΡΙΝΑΣ ΚΟΡΩΠΙΟΥ</t>
  </si>
  <si>
    <t>ΠΑΠΑΓΙΑΝΝΟΠΟΥΛΟΥ 74</t>
  </si>
  <si>
    <t>4ο ΔΗΜΟΤΙΚΟ ΣΧΟΛΕΙΟ ΓΕΡΑΚΑ</t>
  </si>
  <si>
    <t>mail@4dim-gerak.att.sch.gr</t>
  </si>
  <si>
    <t>ΙΑΣΟΝΟΣ 12</t>
  </si>
  <si>
    <t>1ο ΔΗΜΟΤΙΚΟ ΣΧΟΛΕΙΟ ΚΑΛΥΒΙΩΝ</t>
  </si>
  <si>
    <t>mail@1dim-kalyv.att.sch.gr</t>
  </si>
  <si>
    <t>ΚΑΛΥΒIA</t>
  </si>
  <si>
    <t>ΣΟΥΝΙΟΥ 22</t>
  </si>
  <si>
    <t>3ο ΝΗΠΙΑΓΩΓΕΙΟ ΠΑΙΑΝΙΑΣ</t>
  </si>
  <si>
    <t>mail@3nip-paian.att.sch.gr</t>
  </si>
  <si>
    <t>ΑΧΙΛΛΕΑ ΣΕΡΦΙΩΤΗ ΚΑΙ ΟΡΦΕΑ</t>
  </si>
  <si>
    <t>2ο ΔΗΜΟΤΙΚΟ ΣΧΟΛΕΙΟ ΓΛΥΚΩΝ ΝΕΡΩΝ</t>
  </si>
  <si>
    <t>mail@2dim-glykon.att.sch.gr</t>
  </si>
  <si>
    <t>ΓΛΥΚΑ ΝΕΡΑ</t>
  </si>
  <si>
    <t>ΤΡΙΦΥΛΙΑΣ ΚΑΙ ΑΡΓΟΣΤΟΛΙΟΥ 31</t>
  </si>
  <si>
    <t>2ο ΝΗΠΙΑΓΩΓΕΙΟ ΑΝΑΒΥΣΣΟΥ</t>
  </si>
  <si>
    <t>mail@2nip-anav.att.sch.gr</t>
  </si>
  <si>
    <t>ΑΝΑΒΥΣΣΟΣ</t>
  </si>
  <si>
    <t>ΑΓ. ΚΥΡΙΑΚΗΣ</t>
  </si>
  <si>
    <t>4ο ΝΗΠΙΑΓΩΓΕΙΟ ΚΟΡΩΠΙΟΥ</t>
  </si>
  <si>
    <t>mail@4nip-korop.att.sch.gr</t>
  </si>
  <si>
    <t>ΓΕΩΡΓΙΟΥ ΒΛΑΧΟΥ ΚΑΙ ΑΠΟΛΛΩΝΟΣ</t>
  </si>
  <si>
    <t>1ο  ΔΗΜΟΤΙΚΟ ΣΧΟΛΕΙΟ ΠΙΚΕΡΜΙΟΥ</t>
  </si>
  <si>
    <t>mail@dim-pikerm.att.sch.gr</t>
  </si>
  <si>
    <t>ΠΙΚΕΡΜΙ</t>
  </si>
  <si>
    <t>1ο  ΔΗΜΟΤΙΚΟ ΣΧΟΛΕΙΟ ΜΑΡΚΟΠΟΥΛΟΥ ΜΕΣΟΓΑΙΑΣ</t>
  </si>
  <si>
    <t>mail@1dim-markop.att.sch.gr</t>
  </si>
  <si>
    <t>ΜΑΡΚΟΠΟΥΛΟ ΜΕΣΟΓΑΙΑΣ</t>
  </si>
  <si>
    <t>Γ. ΠΑΠΑΒΑΣΙΛΕΙΟΥ 34 &amp; ΔΗΜΗΤΡΙΟΥ ΚΑΡΑΟΛΗ 1</t>
  </si>
  <si>
    <t>ΖΗΝΟΔΩΡΕΙΟ ΔΗΜΟΤΙΚΟ ΣΧΟΛΕΙΟ ΠΑΙΑΝΙΑΣ</t>
  </si>
  <si>
    <t>mail@3dim-paian.att.sch.gr</t>
  </si>
  <si>
    <t>ΠΑΡΟΔΟΣ ΙΩΑΝΝΟΥ ΖΑΧΑΡΙΑ</t>
  </si>
  <si>
    <t>ΔΗΜΟΤΙΚΟ  ΣΧΟΛΕΙΟ  ΓΡΑΜΜΑΤΙΚΟΥ</t>
  </si>
  <si>
    <t>mail@dim-gramm.att.sch.gr</t>
  </si>
  <si>
    <t>ΓΡΑΜΜΑΤΙΚΟ</t>
  </si>
  <si>
    <t>ΑΓΙΟΥ ΓΕΩΡΓΙΟΥ 18</t>
  </si>
  <si>
    <t>2ο ΔΗΜΟΤΙΚΟ ΣΧΟΛΕΙΟ ΝΕΑΣ ΜΑΚΡΗΣ</t>
  </si>
  <si>
    <t>mail@2dim-n-makris.att.sch.gr</t>
  </si>
  <si>
    <t>Νέα Μάκρη</t>
  </si>
  <si>
    <t>Πυθαγόρα 25</t>
  </si>
  <si>
    <t>4ο ΔΗΜΟΤΙΚΟ ΣΧΟΛΕΙΟ ΠΑΛΛΗΝΗΣ</t>
  </si>
  <si>
    <t>mail@4dim-pallin.att.sch.gr</t>
  </si>
  <si>
    <t>ΛΕΟΝΤΑΡΙΟΥ 5</t>
  </si>
  <si>
    <t>1ο  ΝΗΠΙΑΓΩΓΕΙΟ ΑΡΤΕΜΙΔΟΣ</t>
  </si>
  <si>
    <t>mail@1nip-artem.att.sch.gr</t>
  </si>
  <si>
    <t>ΥΠΑΠΑΝΤΗΣ ΚΑΙ Μ.ΜΠΟΤΣΑΡΗ 2</t>
  </si>
  <si>
    <t>ΔΗΜΟΤΙΚΟ ΣΧΟΛΕΙΟ ΤΥΜΒΟΥ ΜΑΡΑΘΩΝΑ</t>
  </si>
  <si>
    <t>mail@dim-tymvou.att.sch.gr</t>
  </si>
  <si>
    <t xml:space="preserve"> ΤΥΜΒΟΣ ΜΑΡΑΘΩΝΑ</t>
  </si>
  <si>
    <t>ΣΛHΜΑΝ 62</t>
  </si>
  <si>
    <t>1ο ΝΗΠΙΑΓΩΓΕΙΟ ΠΑΛΛΗΝΗΣ</t>
  </si>
  <si>
    <t>mail@1nip-pallin.att.sch.gr</t>
  </si>
  <si>
    <t>ΜΑΥΡΟΜΙΧΑΛΗ ΚΑΙ ΥΨΗΛΑΝΤΟΥ</t>
  </si>
  <si>
    <t>2ο ΝΗΠΙΑΓΩΓΕΙΟ ΚΑΛΥΒΙΩΝ</t>
  </si>
  <si>
    <t>mail@2nip-kalyv.att.sch.gr</t>
  </si>
  <si>
    <t>ΓΚΑΡΟΝ 16</t>
  </si>
  <si>
    <t>15ο  ΔΗΜΟΤΙΚΟ ΣΧΟΛΕΙΟ ΑΧΑΡΝΩΝ</t>
  </si>
  <si>
    <t>mail@15dim-acharn.att.sch.gr</t>
  </si>
  <si>
    <t>ΑΓΙΑΣ   ΤΡΙΑΔΟΣ   ΚΑΙ   ΠΑΝ. ΜΥΡΟΒΛΗΤΙΣΣΑΣ</t>
  </si>
  <si>
    <t>ΔΗΜΟΤΙΚΟ ΣΧΟΛΕΙΟ ΑΝΑΤΟΛΗΣ ΝΕΑΣ ΜΑΚΡΗΣ</t>
  </si>
  <si>
    <t>mail@dim-anatol.att.sch.gr</t>
  </si>
  <si>
    <t>ΑΝΑΤΟΛΗ ΝΕΑΣ ΜΑΚΡΗΣ</t>
  </si>
  <si>
    <t>ΛΕΩΦ. ΔΙΟΝΥΣΟΥ 112</t>
  </si>
  <si>
    <t>4ο  ΔΗΜΟΤΙΚΟ ΣΧΟΛΕΙΟ ΚΟΡΩΠΙΟΥ</t>
  </si>
  <si>
    <t>mail@4dim-korop.att.sch.gr</t>
  </si>
  <si>
    <t>Γ. ΒΛΑΧΟΥ ΚΑΙ ΑΠΟΛΛΩΝΟΣ</t>
  </si>
  <si>
    <t>1ο ΔΗΜΟΤΙΚΟ ΣΧΟΛΕΙΟ ΔΙΟΝΥΣΟΥ</t>
  </si>
  <si>
    <t>mail@1dim-dionys.att.sch.gr</t>
  </si>
  <si>
    <t>ΔΙΟΝΥΣΟΥ</t>
  </si>
  <si>
    <t>Διόνυσος</t>
  </si>
  <si>
    <t>Στρατή Καρρά &amp; Κίου</t>
  </si>
  <si>
    <t>3ο ΔΗΜΟΤΙΚΟ ΣΧΟΛΕΙΟ ΓΛΥΚΩΝ ΝΕΡΩΝ</t>
  </si>
  <si>
    <t>mail@3dim-gl-neron.att.sch.gr</t>
  </si>
  <si>
    <t>Γλυκά Νερά</t>
  </si>
  <si>
    <t>ΚΩΝΣΤΑΝΤΙΝΟΥΠΟΛΕΩΣ 41</t>
  </si>
  <si>
    <t>4ο ΝΗΠΙΑΓΩΓΕΙΟ ΒΟΥΛΑΣ</t>
  </si>
  <si>
    <t>4nipvoul@sch.gr</t>
  </si>
  <si>
    <t>ΒΟΥΛΑ</t>
  </si>
  <si>
    <t>ΚΑΒΑΦΗ 1 ΚΑΙ ΔΡΟΣΙΝΗ</t>
  </si>
  <si>
    <t>5ο ΔΗΜΟΤΙΚΟ ΣΧΟΛΕΙΟ ΠΑΛΛΗΝΗΣ</t>
  </si>
  <si>
    <t>mail@5dim-pallin.att.sch.gr</t>
  </si>
  <si>
    <t>ΑΡΜΟΔΙΟΥ 20</t>
  </si>
  <si>
    <t>ΝΗΠΙΑΓΩΓΕΙΟ ΒΑΡΚΙΖΑΣ</t>
  </si>
  <si>
    <t>nipbarkiz@sch.gr</t>
  </si>
  <si>
    <t>ΤΙΤΑΝΩΝ 16</t>
  </si>
  <si>
    <t>1ο ΔΗΜΟΤΙΚΟ ΣΧΟΛΕΙΟ ΡΑΦΗΝΑΣ</t>
  </si>
  <si>
    <t>mail@1dim-rafin.att.sch.gr</t>
  </si>
  <si>
    <t>ΡΑΦΗΝΑ</t>
  </si>
  <si>
    <t>ΧΡΥΣΟΣΤΟΜΟΥ ΣΜΥΡΝΗΣ 10</t>
  </si>
  <si>
    <t>ΔΗΜΟΤΙΚΟ ΣΧΟΛΕΙΟ ΚΑΠΑΝΔΡΙΤΙΟΥ</t>
  </si>
  <si>
    <t>mail@dim-kapandr.att.sch.gr</t>
  </si>
  <si>
    <t>ΩΡΩΠΟΥ</t>
  </si>
  <si>
    <t>ΚΑΠΑΝΔΡΙΤΙ</t>
  </si>
  <si>
    <t>Λ.ΠΟΛΥΔΕΝΔΡΙΟΥ 11</t>
  </si>
  <si>
    <t>2ο  ΝΗΠΙΑΓΩΓΕΙΟ ΚΟΡΩΠΙΟΥ</t>
  </si>
  <si>
    <t>mail@2nip-korop.att.sch.gr</t>
  </si>
  <si>
    <t>1ο  ΔΗΜΟΤΙΚΟ ΣΧΟΛΕΙΟ ΑΡΤΕΜΙΔΑΣ</t>
  </si>
  <si>
    <t>mail@1dim-artem.att.sch.gr</t>
  </si>
  <si>
    <t>ΣΠΕΤΣΩΝ ΚΑΙ ΘΕΜΙΣΤΟΚΛΕΟΥΣ</t>
  </si>
  <si>
    <t>ΔΗΜΟΤΙΚΟ ΣΧΟΛΕΙΟ ΑΓΙΑΣ ΜΑΡΙΝΑΣ ΚΟΡΩΠΙΟΥ</t>
  </si>
  <si>
    <t>mail@dim-ag-marin-korop.att.sch.gr</t>
  </si>
  <si>
    <t>ΑΓΙΑ ΜΑΡΙΝΑ</t>
  </si>
  <si>
    <t>ΠΑΠΑΓΙΑΝΝΟΠΟΥΛΟΥ  70</t>
  </si>
  <si>
    <t>4ο ΝΗΠΙΑΓΩΓΕΙΟ ΠΑΛΛΗΝΗΣ</t>
  </si>
  <si>
    <t>mail@4nip-pallin.att.sch.gr</t>
  </si>
  <si>
    <t>ΛΕΩΦΟΡΟΣ ΛΕΟΝΤΑΡΙΟΥ</t>
  </si>
  <si>
    <t>4ο ΝΗΠΙΑΓΩΓΕΙΟ ΠΑΙΑΝΙΑΣ</t>
  </si>
  <si>
    <t>mail@4nip-paian.att.sch.gr</t>
  </si>
  <si>
    <t>ΙΩΑΝΝΟΥ ΜΕΤΑΞΑ 1,ΠΛΑΤΕΙΑ ΕΚΚΛΗΣΙΑΣ ΖΩΟΔΟΧΟΥ ΠΗΓΗΣ-ΠΑΙΑΝΙΑ</t>
  </si>
  <si>
    <t>3ο ΝΗΠΙΑΓΩΓΕΙΟ ΜΑΡΚΟΠΟΥΛΟΥ</t>
  </si>
  <si>
    <t>mail@3nip-markop.att.sch.gr</t>
  </si>
  <si>
    <t>ΜΑΡΚΟΠΟΥΛΟΥ</t>
  </si>
  <si>
    <t>ΑΝΘΕΩΝ ΚΑΙ ΕΠΙΚΟΥΡΟΥ  3</t>
  </si>
  <si>
    <t>1ο ΔΗΜΟΤΙΚΟ ΣΧΟΛΕΙΟ ΝΕΑΣ ΜΑΚΡΗΣ</t>
  </si>
  <si>
    <t>mail@1dim-n-makris.att.sch.gr</t>
  </si>
  <si>
    <t>ΝΕΑ ΜΑΚΡΗ</t>
  </si>
  <si>
    <t>ΛΕΩΦ. ΜΑΡΑΘΩΝΟΣ  115</t>
  </si>
  <si>
    <t>2ο ΔΗΜΟΤΙΚΟ ΣΧΟΛΕΙΟ ΛΑΥΡΙΟΥ</t>
  </si>
  <si>
    <t>mail@2dim-lavriou.att.sch.gr</t>
  </si>
  <si>
    <t>ΛΑΥΡΙΟ</t>
  </si>
  <si>
    <t>ΛΕΩΦΟΡΟΣ ΣΟΥΝΙΟΥ</t>
  </si>
  <si>
    <t>1ο ΝΗΠΙΑΓΩΓΕΙΟ ΠΟΡΤΟ ΡΑΦΤΗ</t>
  </si>
  <si>
    <t>mail@1nip-porto-rafti.att.sch.gr</t>
  </si>
  <si>
    <t>ΠΟΡΤΟ ΡΑΦΤΗ</t>
  </si>
  <si>
    <t>ΜΕΛΙΝΑΣ ΜΕΡΚΟΥΡΗ 1</t>
  </si>
  <si>
    <t>1ο ΔΗΜΟΤΙΚΟ ΣΧΟΛΕΙΟ ΒΟΥΛΑΣ</t>
  </si>
  <si>
    <t>mail@1dim-voulas.att.sch.gr</t>
  </si>
  <si>
    <t>ΠΑΓΚΑΛΟΥ 1</t>
  </si>
  <si>
    <t>ΔΗΜΟΤΙΚΟ ΣΧΟΛΕΙΟ ΚΟΥΒΑΡΑ</t>
  </si>
  <si>
    <t>mail@dim-kouvar.att.sch.gr</t>
  </si>
  <si>
    <t>ΚΟΥΒΑΡΑΣ</t>
  </si>
  <si>
    <t>ΠΑΠΑΔΙΑΜΑΝΤΗ 15</t>
  </si>
  <si>
    <t>3ο ΔΗΜΟΤΙΚΟ ΣΧΟΛΕΙΟ ΚΑΛΥΒΙΩΝ</t>
  </si>
  <si>
    <t>mail@3dim-kalyv.att.sch.gr</t>
  </si>
  <si>
    <t>ΛΑΓΟΝΗΣΙ</t>
  </si>
  <si>
    <t>Γ. ΚΑΡΑΪΣΚΑΚΗ</t>
  </si>
  <si>
    <t>1ο ΔΗΜΟΤΙΚΟ ΣΧΟΛΕΙΟ ΚΙΤΣΙΟΥ</t>
  </si>
  <si>
    <t>mail@dim-kitsiou.att.sch.gr</t>
  </si>
  <si>
    <t>ΚΙΤΣΙ</t>
  </si>
  <si>
    <t>Παπαγιαννοπούλου 247 &amp; Αγ. Τριάδας</t>
  </si>
  <si>
    <t>3ο  ΔΗΜΟΤΙΚΟ ΣΧΟΛΕΙΟ ΜΑΡΚΟΠΟΥΛΟΥ ΜΕΣΟΓΑΙΑΣ</t>
  </si>
  <si>
    <t>mail@3dim-markop.att.sch.gr</t>
  </si>
  <si>
    <t>ΜΑΡΚΟΠΟΥΛΟ</t>
  </si>
  <si>
    <t>ΚΩΣΤΑ ΣΩΤΗΡΙΟΥ 1</t>
  </si>
  <si>
    <t>1ο ΔΗΜΟΤΙΚΟ ΣΧΟΛΕΙΟ ΚΟΡΩΠΙΟΥ</t>
  </si>
  <si>
    <t>mail@1dim-korop.att.sch.gr</t>
  </si>
  <si>
    <t>ΙΩΑΝΝOY ΓΚΙΟΚΑ 19</t>
  </si>
  <si>
    <t>2ο   ΔΗΜΟΤΙΚΟ ΣΧΟΛΕΙΟ ΜΑΡΚΟΠΟΥΛΟΥ  ΜΕΣΟΓΑΙΑΣ</t>
  </si>
  <si>
    <t>mail@2dim-markop.att.sch.gr</t>
  </si>
  <si>
    <t>Μαρκόπουλο</t>
  </si>
  <si>
    <t>ΜΥΡΡΙΝΟΥΝΤΟΣ 22</t>
  </si>
  <si>
    <t>2ο ΔΗΜΟΤΙΚΟ ΣΧΟΛΕΙΟ ΚΕΡΑΤΕΑΣ</t>
  </si>
  <si>
    <t>mail@2dim-kerat.att.sch.gr</t>
  </si>
  <si>
    <t>Κερατέα</t>
  </si>
  <si>
    <t>ΠΑΥΛΟΥ ΜΕΛΑ 20</t>
  </si>
  <si>
    <t>3ο ΟΛΟΗΜΕΡΟ ΔΗΜΟΤΙΚΟ ΣΧΟΛΕΙΟ ΣΠΑΤΩΝ</t>
  </si>
  <si>
    <t>mail@3dim-spaton.att.sch.gr</t>
  </si>
  <si>
    <t>ΧΡΗΣΤΟΥ ΜΠΕΚΑ</t>
  </si>
  <si>
    <t>1ο ΝΗΠΙΑΓΩΓΕΙΟ ΚΑΛΥΒΙΩΝ</t>
  </si>
  <si>
    <t>mail@1nip-kalyv.att.sch.gr</t>
  </si>
  <si>
    <t>ΚΑΛΥΒΙΩΝ</t>
  </si>
  <si>
    <t>ΑΠΟΣΤΟΛΟΥ ΚΑΙ ΣΑΜΟΘΡΑΚΗΣ</t>
  </si>
  <si>
    <t>1ο  ΔΗΜΟΤΙΚΟ ΣΧΟΛΕΙΟ ΛΑΥΡΙΟΥ</t>
  </si>
  <si>
    <t>mail@1dim-lavriou.att.sch.gr</t>
  </si>
  <si>
    <t>ΔΗΜΑΡΧΟΥ ΡΕΛΙΟΥ</t>
  </si>
  <si>
    <t>3ο ΔΗΜΟΤΙΚΟ ΣΧΟΛΕΙΟ ΒΟΥΛΑΣ</t>
  </si>
  <si>
    <t>mail@3dim-voulas.att.sch.gr</t>
  </si>
  <si>
    <t>ΜΠΙΖΑΝΙΟΥ 1  ΚΑΙ ΥΜΗΤΤΟΥ  1</t>
  </si>
  <si>
    <t>1ο ΔΗΜΟΤΙΚΟ ΣΧΟΛΕΙΟ ΠΑΛΛΗΝΗΣ</t>
  </si>
  <si>
    <t>mail@1dim-pallin.att.sch.gr</t>
  </si>
  <si>
    <t>ΕΘΝΙΚΗΣ ΑΝΤΙΣΤΑΣΕΩΣ ΚΑΙ ΜΑΥΡΟΜΙΧΑΛΗ</t>
  </si>
  <si>
    <t>6ο ΔΗΜΟΤΙΚΟ ΣΧΟΛΕΙΟ ΠΑΛΛΗΝΗΣ</t>
  </si>
  <si>
    <t>mail@6dim-pallin.att.sch.gr</t>
  </si>
  <si>
    <t>ΕΡΑΤΟΥΣ ΚΑΙ ΟΛΥΜΠΙΑΣ</t>
  </si>
  <si>
    <t>2ο ΔΗΜΟΤΙΚΟ ΣΧΟΛΕΙΟ ΠΑΛΛΗΝΗΣ</t>
  </si>
  <si>
    <t>mail@2dim-pallin.att.sch.gr</t>
  </si>
  <si>
    <t>ΑΝΑΤΟΛΗΣ 6</t>
  </si>
  <si>
    <t>5ο ΔΗΜΟΤΙΚΟ ΣΧΟΛΕΙΟ ΓΕΡΑΚΑ</t>
  </si>
  <si>
    <t>mail@5dim-gerak.att.sch.gr</t>
  </si>
  <si>
    <t>ΑΝΑΦΗΣ 32</t>
  </si>
  <si>
    <t>1ο ΝΗΠΙΑΓΩΓΕΙΟ ΣΑΡΩΝΙΔΑΣ</t>
  </si>
  <si>
    <t>mail@nip-saron.att.sch.gr</t>
  </si>
  <si>
    <t>ΣΑΡΩΝΙΔΑΣ</t>
  </si>
  <si>
    <t>ΚΕΦΑΛΛΗΝΙΑΣ 26</t>
  </si>
  <si>
    <t>ΝΗΠΙΑΓΩΓΕΙΟ ΤΥΜΒΟΥ ΜΑΡΑΘΩΝΑ</t>
  </si>
  <si>
    <t>mail@nip-tymvou.att.sch.gr</t>
  </si>
  <si>
    <t>ΤΥΜΒΟΥ ΜΑΡΑΘΩΝΑ</t>
  </si>
  <si>
    <t>ΘΕΣΣΑΛΙΑΣ 90</t>
  </si>
  <si>
    <t>ΝΗΠΙΑΓΩΓΕΙΟ ΠΑΛΑΙΑΣ ΦΩΚΑΙΑΣ</t>
  </si>
  <si>
    <t>mail@nip-p-fokaias.att.sch.gr</t>
  </si>
  <si>
    <t>ΠΑΛΑΙΑΣ ΦΩΚΑΙΑΣ</t>
  </si>
  <si>
    <t>Ι.ΚΑΡΑΠΙΠΕΡΗ</t>
  </si>
  <si>
    <t>1ο  ΔΗΜΟΤΙΚΟ ΣΧΟΛΕΙΟ ΜΑΡΑΘΩΝΑ</t>
  </si>
  <si>
    <t>mail@1dim-marath.att.sch.gr</t>
  </si>
  <si>
    <t>ΜΑΡΑΘΩΝΑΣ</t>
  </si>
  <si>
    <t>ΑΝΑΣΤΑΣΙΟΥ ΧΡΥΣΙΝΑ 7</t>
  </si>
  <si>
    <t>2ο ΔΗΜΟΤΙΚΟ ΣΧΟΛΕΙΟ ΒΟΥΛΑΣ</t>
  </si>
  <si>
    <t>mail@2dim-voulas.att.sch.gr</t>
  </si>
  <si>
    <t>ΠΛΑΠΟΥΤΑ 7 ΚΑΙ ΑΣΚΛΗΠΙΟΥ</t>
  </si>
  <si>
    <t>ΝΗΠΙΑΓΩΓΕΙΟ ΑΝΑΤΟΛΗΣ ΝΕΑΣ ΜΑΚΡΗΣ</t>
  </si>
  <si>
    <t>mail@nip-anatol.att.sch.gr</t>
  </si>
  <si>
    <t xml:space="preserve"> ΝΕΑ ΜΑΚΡΗ</t>
  </si>
  <si>
    <t>ΑΣΚΛΗΠΙΟΥ ΚΑΙ ΑΦΡΟΔΙΤΗΣ (ΓΩΝΙΑ)</t>
  </si>
  <si>
    <t>ΟΛΟΗΜΕΡΟ ΔΗΜΟΤΙΚΟ ΣΧΟΛΕΙΟ ΑΓΙΑΣ ΜΑΡΙΝΑΣ ΝΕΑΣ ΜΑΚΡΗΣ</t>
  </si>
  <si>
    <t>mail@dim-ag-marin.att.sch.gr</t>
  </si>
  <si>
    <t>ΑΓΙΑ ΜΑΡΙΝΑ ΝΕΑΣ ΜΑΚΡΗΣ</t>
  </si>
  <si>
    <t>ΑΓΙΑΣ ΜΑΡΙΝΑΣ</t>
  </si>
  <si>
    <t>ΔΗΜΟΤΙΚΟ ΣΧΟΛΕΙΟ ΣΥΚΑΜΙΝΟΥ</t>
  </si>
  <si>
    <t>mail@dim-sykam.att.sch.gr</t>
  </si>
  <si>
    <t>ΣΥΚΑΜΙΝΟ</t>
  </si>
  <si>
    <t>ΑΓ. ΔΗΜΗΤΡΙΟΥ</t>
  </si>
  <si>
    <t>2ο ΔΗΜΟΤΙΚΟ ΣΧΟΛΕΙΟ ΑΥΛΩΝΑΣ</t>
  </si>
  <si>
    <t>mail@dim-sofr-avlon.att.sch.gr</t>
  </si>
  <si>
    <t xml:space="preserve"> ΑΥΛΩΝΑΣ</t>
  </si>
  <si>
    <t>Ε.Σ.Κ.Ν. ΑΥΛΩΝΑΣ</t>
  </si>
  <si>
    <t>1ο ΔΗΜΟΤΙΚΟ ΣΧΟΛΕΙΟ ΣΠΑΤΩΝ</t>
  </si>
  <si>
    <t>mail@1dim-spaton.att.sch.gr</t>
  </si>
  <si>
    <t>ΑΔ.ΚΟΡΑΗ 1</t>
  </si>
  <si>
    <t>2ο  ΔΗΜΟΤΙΚΟ ΣΧΟΛΕΙΟ ΑΡΤΕΜΙΔΟΣ</t>
  </si>
  <si>
    <t>mail@2dim-artem.att.sch.gr</t>
  </si>
  <si>
    <t>ΑΡΤΕΜΙΣ</t>
  </si>
  <si>
    <t>ΑΓΙΟΥ ΙΩΑΝΝΟΥ 6</t>
  </si>
  <si>
    <t>1ο  ΔΗΜΟΤΙΚΟ ΣΧΟΛΕΙΟ ΚΕΡΑΤΕΑΣ</t>
  </si>
  <si>
    <t>mail@1dim-kerat.att.sch.gr</t>
  </si>
  <si>
    <t>ΚΕΡΑΤΕΑ</t>
  </si>
  <si>
    <t>Λ. ΣΟΥΝΙΟΥ 38</t>
  </si>
  <si>
    <t>2ο ΝΗΠΙΑΓΩΓΕΙΟ ΒΟΥΛΑΣ</t>
  </si>
  <si>
    <t>mail@2nip-voulas.att.sch.gr</t>
  </si>
  <si>
    <t>ΑΣΚΛΗΠΙΟΥ ΚΑΙ ΟΔΥΣΣΕΩΣ</t>
  </si>
  <si>
    <t>2ο ΔΗΜΟΤΙΚΟ ΣΧΟΛΕΙΟ ΡΑΦΗΝΑΣ</t>
  </si>
  <si>
    <t>mail@2dim-rafin.att.sch.gr</t>
  </si>
  <si>
    <t>ΛΕΩΦΟΡΟΣ ΜΑΡΑΘΩΝΟΣ 103</t>
  </si>
  <si>
    <t>4ο ΝΗΠΙΑΓΩΓΕΙΟ ΑΧΑΡΝΩΝ</t>
  </si>
  <si>
    <t>mail@4nip-acharn.att.sch.gr</t>
  </si>
  <si>
    <t>ΝΕΡΑΪΔΑΣ 4</t>
  </si>
  <si>
    <t>5ο  ΝΗΠΙΑΓΩΓΕΙΟ ΑΧΑΡΝΩΝ</t>
  </si>
  <si>
    <t>mail@5nip-acharn.att.sch.gr</t>
  </si>
  <si>
    <t>ΔΗΜΗΤΡΙΟΥ  ΔΕΔΕ 66</t>
  </si>
  <si>
    <t>6ο  ΝΗΠΙΑΓΩΓΕΙΟ ΑΧΑΡΝΩΝ</t>
  </si>
  <si>
    <t>mail@6nip-acharn.att.sch.gr</t>
  </si>
  <si>
    <t>ΜΙΑΟΥΛΗ ΚΑΙ ΚΑΤΑΡΑ</t>
  </si>
  <si>
    <t>7ο  ΝΗΠΙΑΓΩΓΕΙΟ ΑΧΑΡΝΩΝ</t>
  </si>
  <si>
    <t>mail@7nip-acharn.att.sch.gr</t>
  </si>
  <si>
    <t>Α. ΠΑΠΑΧΡΗΣΤΟΥ ΤΕΡΜΑ</t>
  </si>
  <si>
    <t>8ο ΝΗΠΙΑΓΩΓΕΙΟ ΑΧΑΡΝΩΝ</t>
  </si>
  <si>
    <t>mail@8nip-acharn.att.sch.gr</t>
  </si>
  <si>
    <t>ΔΕΥΚΑΛΙΩΝΟΣ 3</t>
  </si>
  <si>
    <t>9ο  ΝΗΠΙΑΓΩΓΕΙΟ ΑΧΑΡΝΩΝ</t>
  </si>
  <si>
    <t>mail@9nip-acharn.att.sch.gr</t>
  </si>
  <si>
    <t>ΕΝΔΕΚΑΤΗ ΣΤΑΣΗ ΑΓΙΑΣ ΑΝΝΑΣ</t>
  </si>
  <si>
    <t>10ο ΝΗΠΙΑΓΩΓΕΙΟ ΑΧΑΡΝΩΝ</t>
  </si>
  <si>
    <t>mail@10nip-acharn.att.sch.gr</t>
  </si>
  <si>
    <t>ΣΩΚΡΑΤΟΥΣ 68</t>
  </si>
  <si>
    <t>11ο ΝΗΠΙΑΓΩΓΕΙΟ ΑΧΑΡΝΩΝ</t>
  </si>
  <si>
    <t>mail@11nip-acharn.att.sch.gr</t>
  </si>
  <si>
    <t>ΜΑΤΣΟΥΚΑ 11</t>
  </si>
  <si>
    <t>12ο ΝΗΠΙΑΓΩΓΕΙΟ ΑΧΑΡΝΩΝ</t>
  </si>
  <si>
    <t>mail@12nip-acharn.att.sch.gr</t>
  </si>
  <si>
    <t>ΔΕΚΕΛΕΙΑΣ ΚΑΙ ΔΗΜ. ΔΑΜΑΣΚΟΥ</t>
  </si>
  <si>
    <t>14ο ΝΗΠΙΑΓΩΓΕΙΟ ΑΧΑΡΝΩΝ</t>
  </si>
  <si>
    <t>mail@14nip-acharn.att.sch.gr</t>
  </si>
  <si>
    <t>ΘΕΑΓΕΝΟΥΣ ΚΑΙ ΣΑΠΦΟΥΣ</t>
  </si>
  <si>
    <t>15ο ΝΗΠΙΑΓΩΓΕΙΟ ΑΧΑΡΝΩΝ</t>
  </si>
  <si>
    <t>mail@15nip-acharn.att.sch.gr</t>
  </si>
  <si>
    <t>ΚΟΡΙΝΘΟΥ 4</t>
  </si>
  <si>
    <t>18ο ΝΗΠΙΑΓΩΓΕΙΟ ΑΧΑΡΝΩΝ</t>
  </si>
  <si>
    <t>mail@18nip-acharn.att.sch.gr</t>
  </si>
  <si>
    <t>19ο ΝΗΠΙΑΓΩΓΕΙΟ ΑΧΑΡΝΩΝ</t>
  </si>
  <si>
    <t>mail@19nip-acharn.att.sch.gr</t>
  </si>
  <si>
    <t>ΒΥΣΑΡΑΚΗ ΚΑΙ ΠΤΟΛΕΜΑΪΔΟΣ 50</t>
  </si>
  <si>
    <t>20ο ΝΗΠΙΑΓΩΓΕΙΟ ΑΧΑΡΝΩΝ</t>
  </si>
  <si>
    <t>mail@20nip-acharn.att.sch.gr</t>
  </si>
  <si>
    <t>ΑΝΑΣΤΑΣΙΟΥ ΒΑΡΕΛΑ 37</t>
  </si>
  <si>
    <t>21ο ΝΗΠΙΑΓΩΓΕΙΟ ΑΧΑΡΝΩΝ</t>
  </si>
  <si>
    <t>mail@21nip-acharn.att.sch.gr</t>
  </si>
  <si>
    <t>ΔΙΟΣΚΟΥΡΩΝ 7</t>
  </si>
  <si>
    <t>23ο ΝΗΠΙΑΓΩΓΕΙΟ ΑΧΑΡΝΩΝ</t>
  </si>
  <si>
    <t>mail@23nip-acharn.att.sch.gr</t>
  </si>
  <si>
    <t>ΤΡΙΦΥΛΛΙΑΣ 70</t>
  </si>
  <si>
    <t>24ο ΝΗΠΙΑΓΩΓΕΙΟ ΑΧΑΡΝΩΝ</t>
  </si>
  <si>
    <t>mail@24nip-acharn.att.sch.gr</t>
  </si>
  <si>
    <t>ΙΩΑΝΝΗ ΒΛΑΧΟΓΙΑΝΝΗ 42</t>
  </si>
  <si>
    <t>25ο ΝΗΠΙΑΓΩΓΕΙΟ ΑΧΑΡΝΩΝ</t>
  </si>
  <si>
    <t>mail@25nip-acharn.att.sch.gr</t>
  </si>
  <si>
    <t>ΜΕΓΑΛΟΥ ΒΑΣΙΛΕΙΟΥ ΕΡΓ. ΚΑΤΟΙΚΙΕΣ</t>
  </si>
  <si>
    <t>26ο ΝΗΠΙΑΓΩΓΕΙΟ ΑΧΑΡΝΩΝ</t>
  </si>
  <si>
    <t>mail@26nip-acharn.att.sch.gr</t>
  </si>
  <si>
    <t>ΜΟΝΕΜΒΑΣΙΑΣ   ΛΑΘΕΑΣ</t>
  </si>
  <si>
    <t>27ο  ΝΗΠΙΑΓΩΓΕΙΟ ΑΧΑΡΝΩΝ</t>
  </si>
  <si>
    <t>mail@27nip-acharn.att.sch.gr</t>
  </si>
  <si>
    <t>ΠΤΟΛΕΜΑΪΔΟΣ 50</t>
  </si>
  <si>
    <t>1ο ΝΗΠΙΑΓΩΓΕΙΟ ΘΡΑΚΟΜΑΚΕΔΟΝΩΝ</t>
  </si>
  <si>
    <t>mail@1nip-thrak.att.sch.gr</t>
  </si>
  <si>
    <t>ΘΡΑΚΟΜΑΚΕΔΟΝΩΝ</t>
  </si>
  <si>
    <t>ΑΔΡΙΑΝΟΥΠΟΛΕΩΣ ΚΑΙ ΠΛΑΤΕΙΑ ΑΡΙΣΤΟΤΕΛΟΥΣ 48</t>
  </si>
  <si>
    <t>2ο ΝΗΠΙΑΓΩΓΕΙΟ ΘΡΑΚΟΜΑΚΕΔΟΝΩΝ</t>
  </si>
  <si>
    <t>mail@2nip-thrak.att.sch.gr</t>
  </si>
  <si>
    <t>ΒΕΡΟΙΑΣ ΚΑΙ ΧΑΛΚΙΔΙΚΗΣ</t>
  </si>
  <si>
    <t>1ο ΝΗΠΙΑΓΩΓΕΙΟ ΑΝΟΙΞΗΣ</t>
  </si>
  <si>
    <t>mail@1nip-anoix.att.sch.gr</t>
  </si>
  <si>
    <t>ΑΝΟΙΞΗΣ</t>
  </si>
  <si>
    <t>ΝΑΥΑΡΙΝΟΥ</t>
  </si>
  <si>
    <t>1ο ΝΗΠΙΑΓΩΓΕΙΟ ΑΥΛΩΝΑ</t>
  </si>
  <si>
    <t>mail@1nip-avlon.att.sch.gr</t>
  </si>
  <si>
    <t>ΑΥΛΩΝΑ</t>
  </si>
  <si>
    <t>ΠΟΛΥΤΕΧΝΕΙΟΥ  19</t>
  </si>
  <si>
    <t>1ο ΝΗΠΙΑΓΩΓΕΙΟ ΑΦΙΔΝΩΝ</t>
  </si>
  <si>
    <t>mail@nip-afidn.att.sch.gr</t>
  </si>
  <si>
    <t>ΑΦΙΔΝΩΝ</t>
  </si>
  <si>
    <t>ΜΕΓΑΛΟΥ ΑΛΕΞΑΝΔΡΟΥ</t>
  </si>
  <si>
    <t>2ο ΝΗΠΙΑΓΩΓΕΙΟ ΑΝΟΙΞΗΣ</t>
  </si>
  <si>
    <t>mail@2nip-anoix.att.sch.gr</t>
  </si>
  <si>
    <t>ΑΝΟΙΞΗ</t>
  </si>
  <si>
    <t>2ο ΝΗΠΙΑΓΩΓΕΙΟ ΔΙΟΝΥΣΟΥ</t>
  </si>
  <si>
    <t>mail@2nip-dionys.att.sch.gr</t>
  </si>
  <si>
    <t>ΓΡΗΓΟΡΙΟΥ ΚΥΔΩΝΙΩΝ ΚΑΙ ΔΙΟΝΥΣΟΥ</t>
  </si>
  <si>
    <t>1ο  ΝΗΠΙΑΓΩΓΕΙΟ ΔΡΟΣΙΑΣ ΔΙΟΝΥΣΟΥ</t>
  </si>
  <si>
    <t>mail@nip-drosias.att.sch.gr</t>
  </si>
  <si>
    <t>ΔΡΟΣΙΑ</t>
  </si>
  <si>
    <t>ΓΡΗΓΟΡΙΟΥ ΛΑΜΠΡΑΚΗ 10</t>
  </si>
  <si>
    <t>3ο ΔΗΜΟΤΙΚΟ ΣΧΟΛΕΙΟ ΡΑΦΗΝΑΣ "ΧΡΥΣΟΣΤΟΜΟΣ ΣΜΥΡΝΗΣ"</t>
  </si>
  <si>
    <t>mail@3dim-rafin.att.sch.gr</t>
  </si>
  <si>
    <t>ΠΑΡΟΔΟΣ  ΔΗΜΟΚΡΑΤΙΑΣ-ΚΙΟΥΠΙ (ΑΡΙΑΔΝΗΣ  &amp; ΒΕΡΓΙΝΑΣ)</t>
  </si>
  <si>
    <t>2ο ΝΗΠΙΑΓΩΓΕΙΟ ΚΕΡΑΤΕΑΣ</t>
  </si>
  <si>
    <t>mail@2nip-kerat.att.sch.gr</t>
  </si>
  <si>
    <t>1ο ΝΗΠΙΑΓΩΓΕΙΟ ΚΑΠΑΝΔΡΙΤΙΟΥ</t>
  </si>
  <si>
    <t>mail@nip-kapandr.att.sch.gr</t>
  </si>
  <si>
    <t>ΚΑΠΑΝΔΡΙΤΙΟΥ</t>
  </si>
  <si>
    <t>1ο ΟΛΟΗΜΕΡΟ ΔΗΜΟΤΙΚΟ ΣΧΟΛΕΙΟ ΑΝΟΙΞΗΣ</t>
  </si>
  <si>
    <t>mail@dim-anoiks.att.sch.gr</t>
  </si>
  <si>
    <t>ΚΑΝΑΡΗ 1</t>
  </si>
  <si>
    <t>2ο ΔΗΜΟΤΙΚΟ ΣΧΟΛΕΙΟ ΣΠΑΤΩΝ</t>
  </si>
  <si>
    <t>mail@2dim-spaton.att.sch.gr</t>
  </si>
  <si>
    <t xml:space="preserve">ΣΠΑΤΑ </t>
  </si>
  <si>
    <t>ΑΘΗΝΑΣ 6</t>
  </si>
  <si>
    <t>1ο  ΔΗΜΟΤΙΚΟ ΣΧΟΛΕΙΟ ΔΡΟΣΙΑΣ</t>
  </si>
  <si>
    <t>mail@dim-drosias.att.sch.gr</t>
  </si>
  <si>
    <t>ΑΡΓΥΡΟΥΠΌΛΕΩΣ 19</t>
  </si>
  <si>
    <t>1ο ΝΗΠΙΑΓΩΓΕΙΟ ΒΟΥΛΑΣ</t>
  </si>
  <si>
    <t>mail@1nip-voulas.att.sch.gr</t>
  </si>
  <si>
    <t>ΠΑΓΚΑΛΟΥ ΚΑΙ ΓΡΑΜΜΟΥ</t>
  </si>
  <si>
    <t>1ο  ΝΗΠΙΑΓΩΓΕΙΟ ΚΡΥΟΝΕΡΙΟΥ</t>
  </si>
  <si>
    <t>mail@nip-kryon.att.sch.gr</t>
  </si>
  <si>
    <t>ΑΓ. ΤΡΙΑΔΟΣ &amp; ΥΨΗΛΑΝΤΟΥ</t>
  </si>
  <si>
    <t>4ο ΝΗΠΙΑΓΩΓΕΙΟ ΛΑΥΡΙΟΥ</t>
  </si>
  <si>
    <t>mail@4nip-lavriou.att.sch.gr</t>
  </si>
  <si>
    <t>ΝΗΠΙΑΓΩΓΕΙΟ ΜΑΛΑΚΑΣΑΣ</t>
  </si>
  <si>
    <t>mail@nip-malak.att.sch.gr</t>
  </si>
  <si>
    <t>ΜΑΛΑΚΑΣΑΣ</t>
  </si>
  <si>
    <t>ΓΥΜΝΑΣΤΗΡΙΟΥ 9</t>
  </si>
  <si>
    <t>1ο ΝΗΠΙΑΓΩΓΕΙΟ ΜΑΡΚΟΠΟΥΛΟΥ ΩΡΩΠΟΥ</t>
  </si>
  <si>
    <t>mail@nip-markop.att.sch.gr</t>
  </si>
  <si>
    <t>ΜΑΡΚΟΠΟΥΛΟΥ ΩΡΩΠΟΥ</t>
  </si>
  <si>
    <t>ΜΑΡΚΟΠΟΥΛΟ ΩΡΩΠΟΥ</t>
  </si>
  <si>
    <t>2ο ΝΗΠΙΑΓΩΓΕΙΟ ΛΑΥΡΙΟΥ</t>
  </si>
  <si>
    <t>mail@2nip-lavriou.att.sch.gr</t>
  </si>
  <si>
    <t>1ο  ΝΗΠΙΑΓΩΓΕΙΟ ΝΕΩΝ ΠΑΛΑΤΙΩΝ</t>
  </si>
  <si>
    <t>mail@1nip-n-palat.att.sch.gr</t>
  </si>
  <si>
    <t>ΝΕΑ ΠΑΛΑΤΙΑ</t>
  </si>
  <si>
    <t>ΑΘΑΝΑΣΙΟΥ ΔΙΑΚΟΥ 35</t>
  </si>
  <si>
    <t>ΝΗΠΙΑΓΩΓΕΙΟ ΣΚΑΛΑΣ ΩΡΩΠΟΥ</t>
  </si>
  <si>
    <t>mail@nip-skalas.att.sch.gr</t>
  </si>
  <si>
    <t>ΣΚΑΛΑΣ ΩΡΩΠΟΥ</t>
  </si>
  <si>
    <t>ΟΔΟΣ ΣΤΑΔΙΟΥ</t>
  </si>
  <si>
    <t>ΝΗΠΙΑΓΩΓΕΙΟ ΣΤΑΜΑΤΑΣ</t>
  </si>
  <si>
    <t>mail@nip-stamat.att.sch.gr</t>
  </si>
  <si>
    <t>ΣΤΑΜΑΤΑΣ</t>
  </si>
  <si>
    <t>ΕΙΚΟΣΤΗΣ ΠΕΜΠΤΗΣ ΜΑΡΤΙΟΥ 1-3</t>
  </si>
  <si>
    <t>3ο ΔΗΜΟΤΙΚΟ ΣΧΟΛΕΙΟ ΓΕΡΑΚΑ</t>
  </si>
  <si>
    <t>mail@3dim-gerak.att.sch.gr</t>
  </si>
  <si>
    <t>3ο ΝΗΠΙΑΓΩΓΕΙΟ ΚΑΛΥΒΙΩΝ</t>
  </si>
  <si>
    <t>mail@3nip-kalyv.att.sch.gr</t>
  </si>
  <si>
    <t>ΘΟΡΩΝ</t>
  </si>
  <si>
    <t>ΔΗΜΟΤΙΚΟ ΣΧΟΛΕΙΟ ΣΑΡΩΝΙΔΑΣ</t>
  </si>
  <si>
    <t>mail@dim-saron.att.sch.gr</t>
  </si>
  <si>
    <t>Σαρωνίδα</t>
  </si>
  <si>
    <t>Κεφαλληνίας 28</t>
  </si>
  <si>
    <t>1ο ΔΗΜΟΤΙΚΟ ΣΧΟΛΕΙΟ ΠΑΛΑΙΑΣ ΦΩΚΑΙΑΣ</t>
  </si>
  <si>
    <t>mail@dim-p-fokaias.att.sch.gr</t>
  </si>
  <si>
    <t>ΠΑΛΑΙΑ ΦΩΚΑΙΑ, ΣΑΡΩΝΙΚΟY</t>
  </si>
  <si>
    <t>ΑΧΛΑΔΕΑΣ 3</t>
  </si>
  <si>
    <t>ΔΗΜΟΤΙΚΟ ΣΧΟΛΕΙΟ ΔΙΛΟΦΟΥ ΒΑΡΗΣ</t>
  </si>
  <si>
    <t>mail@dim-dilof.att.sch.gr</t>
  </si>
  <si>
    <t>ΔΙΛΟΦΟ ΒΑΡΗΣ</t>
  </si>
  <si>
    <t>ΣΑΜΟΥ ΚΑΙ ΖΑΛΟΓΓΟΥ</t>
  </si>
  <si>
    <t>2ο ΔΗΜΟΤΙΚΟ ΣΧΟΛΕΙΟ ΒΑΡΗΣ</t>
  </si>
  <si>
    <t>mail@2dim-varis.att.sch.gr</t>
  </si>
  <si>
    <t>ΧΑΤΖΗΔΑΚΗ 2</t>
  </si>
  <si>
    <t>2ο  ΔΗΜΟΤΙΚΟ ΣΧΟΛΕΙΟ ΠΟΡΤΟ ΡΑΦΤΗ</t>
  </si>
  <si>
    <t>mail@2dim-porto-rafti.att.sch.gr</t>
  </si>
  <si>
    <t>ΑΓΙΟΥ ΝΙΚΟΛΑΟΥ ΚΑΙ ΕΙΚΟΣΤΗΣ  ΠΕΜΠΤΗΣ ΜΑΡΤΙΟΥ</t>
  </si>
  <si>
    <t>2ο ΔΗΜΟΤΙΚΟ ΣΧΟΛΕΙΟ ΚΑΛΥΒΙΩΝ</t>
  </si>
  <si>
    <t>mail@2dim-kalyv.att.sch.gr</t>
  </si>
  <si>
    <t>ΑΓ. ΠΕΤΡΟΥ (ΑΠΟΣΤΟΛΟΥ)</t>
  </si>
  <si>
    <t>3ο ΔΗΜΟΤΙΚΟ ΣΧΟΛΕΙΟ ΛΑΥΡΙΟΥ</t>
  </si>
  <si>
    <t>mail@3dim-lavriou.att.sch.gr</t>
  </si>
  <si>
    <t>ΛΕΩΦΟΡΟΣ ΑΘΗΝΩΝ 12</t>
  </si>
  <si>
    <t>2ο ΝΗΠΙΑΓΩΓΕΙΟ ΠΑΙΑΝΙΑΣ</t>
  </si>
  <si>
    <t>mail@2nip-paian.att.sch.gr</t>
  </si>
  <si>
    <t>ΠΕΔΟΥΛΑ ΚΥΠΡΟΥ 1</t>
  </si>
  <si>
    <t>3ο ΔΗΜΟΤΙΚΟ ΣΧΟΛΕΙΟ ΚΕΡΑΤΕΑΣ</t>
  </si>
  <si>
    <t>mail@3dim-kerat.att.sch.gr</t>
  </si>
  <si>
    <t>ΕΥΕΡΓΕΤΗ ΚΩΝ. ΠΡΙΦΤΗ 50</t>
  </si>
  <si>
    <t>1ο ΔΗΜΟΤΙΚΟ ΣΧΟΛΕΙΟ ΣΚΑΛΑΣ ΩΡΩΠΟΥ ΚΑΙ ΝΕΩΝ ΠΑΛΑΤΙΩΝ</t>
  </si>
  <si>
    <t>mail@dim-skalas.att.sch.gr</t>
  </si>
  <si>
    <t>ΝΕΑ ΠΑΛΑΤΙΑ ΩΡΩΠΟΥ</t>
  </si>
  <si>
    <t>ΑΡΓΥΡΟΥΠΟΛΕΩΣ 24</t>
  </si>
  <si>
    <t>ΔΗΜΟΤΙΚΟ ΣΧΟΛΕΙΟ ΧΑΛΚΟΥΤΣΙΟΥ</t>
  </si>
  <si>
    <t>mail@dim-chalk.att.sch.gr</t>
  </si>
  <si>
    <t>ΧΑΛΚΟΥΤΣΙ</t>
  </si>
  <si>
    <t>ΛΕΩΦΟΡΟΣ ΧΑΛΚΟΥΤΣΙΟΥ</t>
  </si>
  <si>
    <t>3ο  ΔΗΜΟΤΙΚΟ ΣΧΟΛΕΙΟ ΚΟΡΩΠΙΟΥ</t>
  </si>
  <si>
    <t>mail@3dim-korop.att.sch.gr</t>
  </si>
  <si>
    <t>5ο  ΔΗΜΟΤΙΚΟ ΣΧΟΛΕΙΟ ΑΡΤΕΜΙΔΑΣ</t>
  </si>
  <si>
    <t>mail@5dim-artem.att.sch.gr</t>
  </si>
  <si>
    <t>1ο ΔΗΜΟΤΙΚΟ ΣΧΟΛΕΙΟ ΑΥΛΩΝΑ</t>
  </si>
  <si>
    <t>mail@dim-avlon.att.sch.gr</t>
  </si>
  <si>
    <t>ΑΥΛΩΝΑΣ</t>
  </si>
  <si>
    <t>ΗΡΩΩΝ ΠΟΛΥΤΕΧΝΕΙΟΥ 17</t>
  </si>
  <si>
    <t>2ο ΔΗΜΟΤΙΚΟ ΣΧΟΛΕΙΟ ΑΧΑΡΝΩΝ</t>
  </si>
  <si>
    <t>mail@2dim-acharn.att.sch.gr</t>
  </si>
  <si>
    <t>ΠΑΡΝΗΘΟΣ 19</t>
  </si>
  <si>
    <t>3ο ΔΗΜΟΤΙΚΟ ΣΧΟΛΕΙΟ ΑΡΤΕΜΙΔΟΣ</t>
  </si>
  <si>
    <t>mail@3dim-artem.att.sch.gr</t>
  </si>
  <si>
    <t>ΝΙΚΟΥ ΚΑΖΑΝΤΖΑΚΗ 38</t>
  </si>
  <si>
    <t>5ο ΔΗΜΟΤΙΚΟ ΣΧΟΛΕΙΟ ΑΧΑΡΝΩΝ</t>
  </si>
  <si>
    <t>mail@5dim-acharn.att.sch.gr</t>
  </si>
  <si>
    <t>Δ. ΔΕΔΕ 100 ΚΑΙ Γ. ΛΑΖΑΡΟΥ</t>
  </si>
  <si>
    <t>6ο  ΔΗΜΟΤΙΚΟ  ΣΧΟΛΕΙΟ ΑΧΑΡΝΩΝ</t>
  </si>
  <si>
    <t>mail@6dim-acharn.att.sch.gr</t>
  </si>
  <si>
    <t>8ο  ΔΗΜΟΤΙΚΟ ΣΧΟΛΕΙΟ ΑΧΑΡΝΩΝ</t>
  </si>
  <si>
    <t>mail@8dim-acharn.att.sch.gr</t>
  </si>
  <si>
    <t>ΑΧΑΡΝEΣ</t>
  </si>
  <si>
    <t>ΔΕΥΚΑΛΙΩΝΟΣ 5</t>
  </si>
  <si>
    <t>4ο ΔΗΜΟΤΙΚΟ ΣΧΟΛΕΙΟ ΒΟΥΛΑΣ</t>
  </si>
  <si>
    <t>4dimvoul@sch.gr</t>
  </si>
  <si>
    <t>ΚΑΖΑΝΤΖΑΚΗ 2</t>
  </si>
  <si>
    <t>9ο ΔΗΜΟΤΙΚΟ ΣΧΟΛΕΙΟ ΑΧΑΡΝΩΝ</t>
  </si>
  <si>
    <t>mail@9dim-acharn.att.sch.gr</t>
  </si>
  <si>
    <t>ΑΓΙΑΣ ΑΝΝΑΣ 45</t>
  </si>
  <si>
    <t>10ο ΔΗΜΟΤΙΚΟ ΣΧΟΛΕΙΟ ΑΧΑΡΝΩΝ</t>
  </si>
  <si>
    <t>mail@10dim-acharn.att.sch.gr</t>
  </si>
  <si>
    <t>ΘΗΒΩΝ  10</t>
  </si>
  <si>
    <t>11ο ΔΗΜΟΤΙΚΟ ΣΧΟΛΕΙΟ ΑΧΑΡΝΩΝ</t>
  </si>
  <si>
    <t>mail@11dim-acharn.att.sch.gr</t>
  </si>
  <si>
    <t>Κορίνθου 4</t>
  </si>
  <si>
    <t>3ο ΔΗΜΟΤΙΚΟ ΣΧΟΛΕΙΟ ΠΑΛΛΗΝΗΣ</t>
  </si>
  <si>
    <t>mail@3dim-pallin.att.sch.gr</t>
  </si>
  <si>
    <t>ΠΥΘΑΓΟΡΑ 2</t>
  </si>
  <si>
    <t>13ο ΔΗΜΟΤΙΚΟ ΣΧΟΛΕΙΟ ΑΧΑΡΝΩΝ</t>
  </si>
  <si>
    <t>mail@13dim-acharn.att.sch.gr</t>
  </si>
  <si>
    <t>ΧΑΤΖΗΠΕΤΡΟΥ Δ 8</t>
  </si>
  <si>
    <t>1ο ΔΗΜΟΤΙΚΟ ΣΧΟΛΕΙΟ ΒΑΡΗΣ</t>
  </si>
  <si>
    <t>mail@1dim-varis.att.sch.gr</t>
  </si>
  <si>
    <t>ΑΤΤΙΔΟΣ 7</t>
  </si>
  <si>
    <t>14ο ΔΗΜΟΤΙΚΟ ΣΧΟΛΕΙΟ ΑΧΑΡΝΩΝ</t>
  </si>
  <si>
    <t>mail@14dim-acharn.att.sch.gr</t>
  </si>
  <si>
    <t>Λευκάδος και Θεαγένους</t>
  </si>
  <si>
    <t>16ο ΔΗΜΟΤΙΚΟ ΣΧΟΛΕΙΟ ΑΧΑΡΝΩΝ</t>
  </si>
  <si>
    <t>mail@16dim-acharn.att.sch.gr</t>
  </si>
  <si>
    <t>ΜΕΝΩΝΟΣ ΚΑΙ ΑΝΔΡΟΜΑΧΗΣ</t>
  </si>
  <si>
    <t>18ο  ΔΗΜΟΤΙΚΟ ΣΧΟΛΕΙΟ ΑΧΑΡΝΩΝ</t>
  </si>
  <si>
    <t>mail@18dim-acharn.att.sch.gr</t>
  </si>
  <si>
    <t>Αγ.Πέτρου και Σαμψούντος</t>
  </si>
  <si>
    <t>19ο ΔΗΜΟΤΙΚΟ ΣΧΟΛΕΙΟ ΑΧΑΡΝΩΝ</t>
  </si>
  <si>
    <t>mail@19dim-acharn.att.sch.gr</t>
  </si>
  <si>
    <t>ΚΥΘΝΟΥ ΚΑΙ Δ.ΚΑΤΑΡΑ-Μ.ΣΧΟΙΝΑ</t>
  </si>
  <si>
    <t>20ο  ΔΗΜΟΤΙΚΟ ΣΧΟΛΕΙΟ ΑΧΑΡΝΩΝ</t>
  </si>
  <si>
    <t>mail@20dim-acharn.att.sch.gr</t>
  </si>
  <si>
    <t>21ο ΔΗΜΟΤΙΚΟ ΣΧΟΛΕΙΟ ΑΧΑΡΝΩΝ</t>
  </si>
  <si>
    <t>mail@21dim-acharn.att.sch.gr</t>
  </si>
  <si>
    <t>ΜΕΣΣΗΝΙΑΣ ΚΑΙ ΣΚΑΡΙΜΠΑ</t>
  </si>
  <si>
    <t>23ο ΔΗΜΟΤΙΚΟ ΣΧΟΛΕΙΟ ΑΧΑΡΝΩΝ</t>
  </si>
  <si>
    <t>mail@23dim-acharn.att.sch.gr</t>
  </si>
  <si>
    <t>ΑΝΔΡΙΤΣΑΙΝΗΣ 15</t>
  </si>
  <si>
    <t>24ο ΔΗΜΟΤΙΚΟ ΣΧΟΛΕΙΟ ΑΧΑΡΝΩΝ</t>
  </si>
  <si>
    <t>mail@24dim-acharn.att.sch.gr</t>
  </si>
  <si>
    <t>ΚΡΗΝΗΣ 33</t>
  </si>
  <si>
    <t>2ο ΝΗΠΙΑΓΩΓΕΙΟ ΑΡΤΕΜΙΔΟΣ</t>
  </si>
  <si>
    <t>mail@2nip-artem.att.sch.gr</t>
  </si>
  <si>
    <t>ΑΓΙΟΥ ΙΩΑΝΝΟΥ ΚΑΙ ΑΝΔΡΟΥ  Υ</t>
  </si>
  <si>
    <t>4ο ΝΗΠΙΑΓΩΓΕΙΟ ΑΡΤΕΜΙΔΟΣ</t>
  </si>
  <si>
    <t>olsakella@sch.gr</t>
  </si>
  <si>
    <t>ΑΝΔΡΟΥ ΚΑΙ ΕΙΡΗΝΗΣ 1</t>
  </si>
  <si>
    <t>28ο ΔΗΜΟΤΙΚΟ ΣΧΟΛΕΙΟ ΑΧΑΡΝΩΝ</t>
  </si>
  <si>
    <t>mail@dim-kapot.att.sch.gr</t>
  </si>
  <si>
    <t>Αχαρνές,</t>
  </si>
  <si>
    <t>ΟΙΚΙΣΜΟΣ ΚΑΠΟΤΑ</t>
  </si>
  <si>
    <t>2ο ΔΗΜΟΤΙΚΟ ΣΧΟΛΕΙΟ ΘΡΑΚΟΜΑΚΕΔΟΝΩΝ</t>
  </si>
  <si>
    <t>mail@2dim-thrak.att.sch.gr</t>
  </si>
  <si>
    <t>17ο ΔΗΜΟΤΙΚΟ ΣΧΟΛΕΙΟ ΑΧΑΡΝΩΝ</t>
  </si>
  <si>
    <t>mail@17dim-acharn.att.sch.gr</t>
  </si>
  <si>
    <t>ΜΕΛΠΟΜΕΝΟΥ ΚΑΙ ΔΙΟΝΥΣΟΥ</t>
  </si>
  <si>
    <t>1ο ΔΗΜΟΤΙΚΟ ΣΧΟΛΕΙΟ ΑΓΙΟΥ ΣΤΕΦΑΝΟΥ</t>
  </si>
  <si>
    <t>mail@1dim-ag-stefan.att.sch.gr</t>
  </si>
  <si>
    <t>ΑΓΙΟΣ ΣΤΕΦΑΝΟΣ</t>
  </si>
  <si>
    <t>ΛΕΩΦ. ΛΙΜΝΗΣ ΜΑΡΑΘΩΝΟΣ 4</t>
  </si>
  <si>
    <t>2ο  ΔΗΜΟΤΙΚΟ ΣΧΟΛΕΙΟ ΑΓΙΟΥ ΣΤΕΦΑΝΟΥ</t>
  </si>
  <si>
    <t>mail@2dim-ag-stefan.att.sch.gr</t>
  </si>
  <si>
    <t>Άγιος Στέφανος</t>
  </si>
  <si>
    <t>ΤΡΑΠΕΖΟΥΝΤΟΣ ΚΑΙ ΛΙΒΕΡΩΝ</t>
  </si>
  <si>
    <t>6ο ΝΗΠΙΑΓΩΓΕΙΟ ΓΕΡΑΚΑ</t>
  </si>
  <si>
    <t>mail@6nip-gerak.att.sch.gr</t>
  </si>
  <si>
    <t>Αισώπου και Νυμφών 46</t>
  </si>
  <si>
    <t>ΔΗΜΟΤΙΚΟ ΣΧΟΛΕΙΟ ΑΦΙΔΝΩΝ</t>
  </si>
  <si>
    <t>mail@dim-afidn.att.sch.gr</t>
  </si>
  <si>
    <t>ΑΦΙΔΝΕΣ</t>
  </si>
  <si>
    <t>ΑΝΔΡΟΥΤΣΟΥ 11</t>
  </si>
  <si>
    <t>ΔΗΜΟΤΙΚΟ ΣΧΟΛΕΙΟ ΒΑΡΝΑΒΑ</t>
  </si>
  <si>
    <t>mail@dim-varnav.att.sch.gr</t>
  </si>
  <si>
    <t>ΒΑΡΝΑΒΑΣ</t>
  </si>
  <si>
    <t>25ΗΣ ΜΑΡΤΙΟΥ &amp; ΔΗΜΟΤΙΚΟΥ ΣΧΟΛΕΙΟΥ  2</t>
  </si>
  <si>
    <t>2ο ΔΗΜΟΤΙΚΟ ΣΧΟΛΕΙΟ ΔΙΟΝΥΣΟΥ</t>
  </si>
  <si>
    <t>mail@2dim-dionys.att.sch.gr</t>
  </si>
  <si>
    <t>ΔΙΟΝΥΣΟΣ</t>
  </si>
  <si>
    <t>ΠΑΤΡΙΑΡΧΟΥ ΓΡΗΓΟΡΙΟΥ ΚΥΔΩΝΙΩΝ ΚΑΙ Λ. ΔΙΟΝΥΣΟΥ</t>
  </si>
  <si>
    <t>ΔΗΜΟΤΙΚΟ ΣΧΟΛΕΙΟ ΚΑΛΑΜΟΥ</t>
  </si>
  <si>
    <t>mail@dim-kalam.att.sch.gr</t>
  </si>
  <si>
    <t>ΚΑΛΑΜΟΣ- ΑΤΤΙΚΗΣ</t>
  </si>
  <si>
    <t>ΑΝΑΣΤΑΣΙΟΥ ΚΑΡΑΝΤΑΝΟΥ -ΚΑΛΑΜΟΣ</t>
  </si>
  <si>
    <t>1ο  ΔΗΜΟΤΙΚΟ ΣΧΟΛΕΙΟ ΚΡΥΟΝΕΡΙΟΥ</t>
  </si>
  <si>
    <t>dimkryo@sch.gr</t>
  </si>
  <si>
    <t>ΣΕΒΔΙΚΙΟΥ  18 και Υακίνθων</t>
  </si>
  <si>
    <t>2ο ΔΗΜΟΤΙΚΟ ΣΧΟΛΕΙΟ ΚΡΥΟΝΕΡΙΟΥ</t>
  </si>
  <si>
    <t>mail@2dim-kryon.att.sch.gr</t>
  </si>
  <si>
    <t>ΥΨΗΛΑΝΤΟΥ ΚΑΙ ΚΑΝΑΡΗ</t>
  </si>
  <si>
    <t>ΔΗΜΟΤΙΚΟ ΣΧΟΛΕΙΟ ΜΑΡΚΟΠΟΥΛΟΥ ΩΡΩΠΟΥ</t>
  </si>
  <si>
    <t>mail@dim-markop.att.sch.gr</t>
  </si>
  <si>
    <t>ΔΗΜΟΤΙΚΟ ΣΧΟΛΕΙΟ ΣΤΑΜΑΤΑΣ</t>
  </si>
  <si>
    <t>mail@dim-stamat.att.sch.gr</t>
  </si>
  <si>
    <t>ΣΤΑΜΑΤΑ</t>
  </si>
  <si>
    <t>25ης ΜΑΡΤΙΟΥ 1-3</t>
  </si>
  <si>
    <t>ΔΗΜΟΤΙΚΟ ΣΧΟΛΕΙΟ ΠΟΛΥΔΕΝΔΡΙΟΥ</t>
  </si>
  <si>
    <t>mail@dim-polyd.att.sch.gr</t>
  </si>
  <si>
    <t>ΠΟΛΥΔΕΝΔΡΙ</t>
  </si>
  <si>
    <t>ΕΙΡΗΝΗΣ 10</t>
  </si>
  <si>
    <t>12ο  ΔΗΜΟΤΙΚΟ ΣΧΟΛΕΙΟ ΑΧΑΡΝΩΝ</t>
  </si>
  <si>
    <t>mail@12dim-acharn.att.sch.gr</t>
  </si>
  <si>
    <t>1ο ΝΗΠΙΑΓΩΓΕΙΟ ΡΑΦΗΝΑΣ</t>
  </si>
  <si>
    <t>mail@1nip-rafin.att.sch.gr</t>
  </si>
  <si>
    <t>ΧΡΥΣΟΣΤΟΜΟΥ ΣΜΥΡΝΗΣ-ΕΥΒΟΙΚΟΥ 1</t>
  </si>
  <si>
    <t>1ο ΝΗΠΙΑΓΩΓΕΙΟ ΜΑΡΚΟΠΟΥΛΟΥ</t>
  </si>
  <si>
    <t>mail@1nip-markop.att.sch.gr</t>
  </si>
  <si>
    <t>4ο ΝΗΠΙΑΓΩΓΕΙΟ ΡΑΦΗΝΑΣ</t>
  </si>
  <si>
    <t>mail@4nip-rafin.att.sch.gr</t>
  </si>
  <si>
    <t>ΧΡΥΣΟΣΤΟΜΟΥ ΣΜΥΡΝΗΣ ΚΑΙ  ΕΥΒΟΙΚΟΥ  1</t>
  </si>
  <si>
    <t>1ο ΝΗΠΙΑΓΩΓΕΙΟ ΛΑΥΡΙΟΥ</t>
  </si>
  <si>
    <t>mail@1nip-lavriou.att.sch.gr</t>
  </si>
  <si>
    <t>Π. ΚΟΚΟΡΕ</t>
  </si>
  <si>
    <t>22ο  ΔΗΜΟΤΙΚΟ ΣΧΟΛΕΙΟ ΑΧΑΡΝΩΝ</t>
  </si>
  <si>
    <t>mail@22dim-acharn.att.sch.gr</t>
  </si>
  <si>
    <t>ΣΠΑΡΤΗΣ ΚΑΙ ΜΗΤΡΟΜΑΡΑ</t>
  </si>
  <si>
    <t>2ο ΝΗΠΙΑΓΩΓΕΙΟ ΡΑΦΗΝΑΣ</t>
  </si>
  <si>
    <t>mail@2nip-rafin.att.sch.gr</t>
  </si>
  <si>
    <t>ΛΕΩΦΟΡΟΣ ΜΑΡΑΘΩΝΟΣ</t>
  </si>
  <si>
    <t>5ο  ΝΗΠΙΑΓΩΓΕΙΟ ΒΟΥΛΑΣ</t>
  </si>
  <si>
    <t>mail@5nip-voulas.att.sch.gr</t>
  </si>
  <si>
    <t>ΑΛΕΞΑΝΔΡΑΣ 1</t>
  </si>
  <si>
    <t>1ο ΝΗΠΙΑΓΩΓΕΙΟ ΜΑΡΑΘΩΝΑ</t>
  </si>
  <si>
    <t>mail@1nip-marath.att.sch.gr</t>
  </si>
  <si>
    <t>ΜΑΡΑΘΩΝΑ</t>
  </si>
  <si>
    <t>ΑΝ. ΧΡΥΣΙΝΑ 7</t>
  </si>
  <si>
    <t>2ο ΝΗΠΙΑΓΩΓΕΙΟ ΜΑΡΑΘΩΝΑ</t>
  </si>
  <si>
    <t>mail@2nip-marath.att.sch.gr</t>
  </si>
  <si>
    <t>ΑΝΑΣΤ. ΧΡΥΣΙΝΑ 7</t>
  </si>
  <si>
    <t>1ο ΔΗΜΟΤΙΚΟ ΣΧΟΛΕΙΟ ΠΟΡΤΟ ΡΑΦΤΗ</t>
  </si>
  <si>
    <t>mail@dim-porto-rafti.att.sch.gr</t>
  </si>
  <si>
    <t>ΚΑΡΟΛΟΥ ΚΟΥΝ 1</t>
  </si>
  <si>
    <t>2ο ΝΗΠΙΑΓΩΓΕΙΟ ΓΛΥΚΩΝ ΝΕΡΩΝ</t>
  </si>
  <si>
    <t>mail@2nip-gl-neron.att.sch.gr</t>
  </si>
  <si>
    <t>ΤΡΙΦΥΛΛΙΑΣ 1 ΚΑΙ ΑΡΓΟΣΤΟΛΙΟΥ</t>
  </si>
  <si>
    <t>25ο  ΔΗΜΟΤΙΚΟ ΣΧΟΛΕΙΟ ΑΧΑΡΝΩΝ</t>
  </si>
  <si>
    <t>mail@25dim-acharn.att.sch.gr</t>
  </si>
  <si>
    <t>ΔΗΜΟΤΙΚΟ ΣΧΟΛΕΙΟ ΩΡΩΠΟΥ</t>
  </si>
  <si>
    <t>dimoropo@sch.gr</t>
  </si>
  <si>
    <t>Ωρωπός</t>
  </si>
  <si>
    <t>ΔΗΜΟΤΙΚΟΥ ΣΧΟΛΕΙΟΥ 10</t>
  </si>
  <si>
    <t>5ο ΝΗΠΙΑΓΩΓΕΙΟ ΠΑΙΑΝΙΑΣ</t>
  </si>
  <si>
    <t>mail@5nip-paian.att.sch.gr</t>
  </si>
  <si>
    <t>Δημάρχου Ίωνα Βορρέ  1 (πρώην Διαδόχου Κωνσταντίνου)</t>
  </si>
  <si>
    <t>4ο ΝΗΠΙΑΓΩΓΕΙΟ ΜΑΡΚΟΠΟΥΛΟΥ</t>
  </si>
  <si>
    <t>mail@4nip-markop.att.sch.gr</t>
  </si>
  <si>
    <t>Γ.Μαμούρη &amp; 25ης Μαρτίου</t>
  </si>
  <si>
    <t>3ο ΝΗΠΙΑΓΩΓΕΙΟ ΠΟΡΤΟ ΡΑΦΤΗ</t>
  </si>
  <si>
    <t>mail@3nip-porto-rafti.att.sch.gr</t>
  </si>
  <si>
    <t>Καλύμνου 53</t>
  </si>
  <si>
    <t>26ο ΔΗΜΟΤΙΚΟ ΣΧΟΛΕΙΟ ΑΧΑΡΝΩΝ</t>
  </si>
  <si>
    <t>mail@26dim-acharn.att.sch.gr</t>
  </si>
  <si>
    <t>ΙΩΑΝΝΗ ΜΕΛΙΣΣΑΝΙΔΗ &amp; ΦΑΝΗΣ ΧΑΛΚIΑ</t>
  </si>
  <si>
    <t>2ο ΔΗΜΟΤΙΚΟ ΣΧΟΛΕΙΟ ΣΚΑΛΑΣ ΩΡΩΠΟΥ ΚΑΙ ΝΕΩΝ ΠΑΛΑΤΙΩΝ</t>
  </si>
  <si>
    <t>mail@2dim-skalas.att.sch.gr</t>
  </si>
  <si>
    <t>ΣΚΑΛΑ ΩΡΩΠΟΥ</t>
  </si>
  <si>
    <t>ΣΤΑΔΙΟΥ</t>
  </si>
  <si>
    <t>28ο  ΝΗΠΙΑΓΩΓΕΊΟ  ΑΧΑΡΝΏΝ</t>
  </si>
  <si>
    <t>mail@28nip-acharn.att.sch.gr</t>
  </si>
  <si>
    <t>ΚΡΑΤΙΝΟΥ 3</t>
  </si>
  <si>
    <t>29ο  ΝΗΠΙΑΓΩΓΕΙΟ ΑΧΑΡΝΩΝ</t>
  </si>
  <si>
    <t>mail@29nip-acharn.att.sch.gr</t>
  </si>
  <si>
    <t>ΧΑΡ.  ΤΑΪΓΑΝΙΔΗ ΚΑΙ ΘΩΜΑ ΜΠΙΜΗ</t>
  </si>
  <si>
    <t>30ο ΝΗΠΙΑΓΩΓΕΙΟ ΑΧΑΡΝΩΝ</t>
  </si>
  <si>
    <t>mail@30nip-acharn.att.sch.gr</t>
  </si>
  <si>
    <t>ΝΙΚΟΛΑΟΥ ΚΑΚΛΑΜΑΝΑΚΗ 20</t>
  </si>
  <si>
    <t>31ο ΝΗΠΙΑΓΩΓΕΙΟ ΑΧΑΡΝΩΝ</t>
  </si>
  <si>
    <t>mail@31nip-acharn.att.sch.gr</t>
  </si>
  <si>
    <t>Κ.ΚΕΝΤΕΡΗ 8</t>
  </si>
  <si>
    <t>33ο  ΝΗΠΙΑΓΩΓΕΙΟ ΑΧΑΡΝΩΝ</t>
  </si>
  <si>
    <t>mail@33nip-acharn.att.sch.gr</t>
  </si>
  <si>
    <t xml:space="preserve">ΑΧΑΡΝΩΝ </t>
  </si>
  <si>
    <t>ΜΗΤΡΟΜΑΡΑ 100</t>
  </si>
  <si>
    <t>34ο  ΝΗΠΙΑΓΩΓΕΙΟ ΑΧΑΡΝΩΝ</t>
  </si>
  <si>
    <t>mail@34nip-acharn.att.sch.gr</t>
  </si>
  <si>
    <t>ΔΑΝΙΗΛ ΒΡΕΤΤΟΥ 3 A</t>
  </si>
  <si>
    <t>27ο ΔΗΜΟΤΙΚΟ ΣΧΟΛΕΙΟ ΑΧΑΡΝΩΝ</t>
  </si>
  <si>
    <t>mail@27dim-acharn.att.sch.gr</t>
  </si>
  <si>
    <t>ΚΑΧΙ ΚΑΚΙΑΣΒΙΛΙ 6</t>
  </si>
  <si>
    <t>29ο ΔΗΜΟΤΙΚΟ ΣΧΟΛΕΙΟ ΑΧΑΡΝΩΝ</t>
  </si>
  <si>
    <t>mail@29dim-acharn.att.sch.gr</t>
  </si>
  <si>
    <t>ΟΛΥΜΠΙΑΚΟ ΧΩΡΙΟ</t>
  </si>
  <si>
    <t>ΙΩΑΝΝΗ ΜΕΛΙΣΣΑΝΙΔΗ ΚΑΙ ΦΑΝΗΣ ΧΑΛΚΙΑ</t>
  </si>
  <si>
    <t>30ο  ΔΗΜΟΤΙΚΟ ΣΧΟΛΕΙΟ ΑΧΑΡΝΩΝ</t>
  </si>
  <si>
    <t>mail@30dim-acharn.att.sch.gr</t>
  </si>
  <si>
    <t>ΚΑΧΙ ΚΑΧΙΑΣΒΙΛΙ 6</t>
  </si>
  <si>
    <t>ΔΗΜΟΤΙΚΟ ΣΧΟΛΕΙΟ  ΡΟΔΟΠΟΛΗΣ  ΑΤΤΙΚΗΣ</t>
  </si>
  <si>
    <t>mail@dim-rodop.att.sch.gr</t>
  </si>
  <si>
    <t>ΡΟΔΟΠΟΛΗ</t>
  </si>
  <si>
    <t>ΚΟΛΟΚΟΤΡΩΝΗ 12</t>
  </si>
  <si>
    <t>5ο ΝΗΠΙΑΓΩΓΕΙΟ ΚΟΡΩΠΙΟΥ</t>
  </si>
  <si>
    <t>mail@5nip-korop.att.sch.gr</t>
  </si>
  <si>
    <t>Αγ.Παρασκευής 48</t>
  </si>
  <si>
    <t>5ο  ΝΗΠΙΑΓΩΓΕΙΟ ΑΡΤΕΜΙΔΟΣ</t>
  </si>
  <si>
    <t>mail@5nip-artem.att.sch.gr</t>
  </si>
  <si>
    <t>ΑΡΚΑΔΙΑΣ 7</t>
  </si>
  <si>
    <t>7ο  ΝΗΠΙΑΓΩΓΕΙΟ ΓΕΡΑΚΑ</t>
  </si>
  <si>
    <t>mail@7nip-gerak.att.sch.gr</t>
  </si>
  <si>
    <t>ΑΜΦΙΛΟΧΙΑΣ 18</t>
  </si>
  <si>
    <t>8ο  ΝΗΠΙΑΓΩΓΕΙΟ ΓΕΡΑΚΑ</t>
  </si>
  <si>
    <t>mail@8nip-gerak.att.sch.gr</t>
  </si>
  <si>
    <t>ΑΡΓΟΣΤΟΛΙΟΥ 2</t>
  </si>
  <si>
    <t>9ο ΝΗΠΙΑΓΩΓΕΙΟ ΠΑΛΛΗΝΗΣ</t>
  </si>
  <si>
    <t>mail@9nip-pallin.att.sch.gr</t>
  </si>
  <si>
    <t>ΚΑΤΩ  ΒΑΚΑΛΟΠΟΥΛΟ-   ΠΑΛΛΗΝΗ</t>
  </si>
  <si>
    <t>ΚΩΣΤΑ ΒΑΡΝΑΛΗ</t>
  </si>
  <si>
    <t>4ο ΝΗΠΙΑΓΩΓΕΙΟ ΣΠΑΤΩΝ</t>
  </si>
  <si>
    <t>mail@4nip-spaton.att.sch.gr</t>
  </si>
  <si>
    <t>ΑΝΑΣΤΑΣΕΩΣ ΧΡΙΣΤΟΥ 7</t>
  </si>
  <si>
    <t>6ο  ΔΗΜΟΤΙΚΟ ΣΧΟΛΕΙΟ ΑΡΤΕΜΙΔΟΣ</t>
  </si>
  <si>
    <t>mail@6dim-artem.att.sch.gr</t>
  </si>
  <si>
    <t>7ο ΔΗΜΟΤΙΚΟ ΣΧΟΛΕΙΟ ΑΡΤΕΜΙΔΑΣ</t>
  </si>
  <si>
    <t>mail@7dim-artem.att.sch.gr</t>
  </si>
  <si>
    <t>ΤΗΝΟΥ ΚΑΙ ΚΑΛΛΙΠΟΛΕΩΣ</t>
  </si>
  <si>
    <t>6ο ΔΗΜΟΤΙΚΟ ΣΧΟΛΕΙΟ ΓΕΡΑΚΑ</t>
  </si>
  <si>
    <t>mail@6dim-gerak.att.sch.gr</t>
  </si>
  <si>
    <t>ΚΟΡΟΜΗΛΑ 17</t>
  </si>
  <si>
    <t>4ο ΔΗΜΟΤΙΚΟ ΣΧΟΛΕΙΟ ΚΑΛΥΒΙΩΝ</t>
  </si>
  <si>
    <t>mail@4dim-kalyv.att.sch.gr</t>
  </si>
  <si>
    <t>ΛΑΓΟΝΗΣΙ-ΚΑΛΥΒΙΑ</t>
  </si>
  <si>
    <t>ΜΕΣΣΑΡΙΑΣ ΚΑΙ  ΚΥΠΡΟΥ</t>
  </si>
  <si>
    <t>4ο  ΔΗΜΟΤΙΚΟ ΣΧΟΛΕΙΟ ΜΑΡΚΟΠΟΥΛΟΥ</t>
  </si>
  <si>
    <t>mail@4dim-markop.att.sch.gr</t>
  </si>
  <si>
    <t>ΑΝΑΞΑΓΟΡΑ ΚΑΙ  ΑΙΣΧΥΛΟΥ</t>
  </si>
  <si>
    <t>7ο ΔΗΜΟΤΙΚΟ ΣΧΟΛΕΙΟ ΓΕΡΑΚΑ</t>
  </si>
  <si>
    <t>mail@7dim-gerak.att.sch.gr</t>
  </si>
  <si>
    <t>Νυμφών 46 Β</t>
  </si>
  <si>
    <t>6ο ΝΗΠΙΑΓΩΓΕΙΟ ΑΡΤΕΜΙΔΟΣ</t>
  </si>
  <si>
    <t>mail@6nip-artem.att.sch.gr</t>
  </si>
  <si>
    <t>ΣΠΕΤΣΩΝ 9-15</t>
  </si>
  <si>
    <t>2ο ΝΗΠΙΑΓΩΓΕΙΟ ΠΙΚΕΡΜΙΟΥ</t>
  </si>
  <si>
    <t>mail@2nip-pikerm.att.sch.gr</t>
  </si>
  <si>
    <t>2ο ΔΗΜΟΤΙΚΟ ΣΧΟΛΕΙΟ ΠΙΚΕΡΜΙΟΥ</t>
  </si>
  <si>
    <t>mail@2dim-pikerm.att.sch.gr</t>
  </si>
  <si>
    <t>Πικέρμι,</t>
  </si>
  <si>
    <t>Ιερέως Κοντοράβδη 9</t>
  </si>
  <si>
    <t>7ο ΝΗΠΙΑΓΩΓΕΙΟ ΑΡΤΕΜΙΔΑΣ</t>
  </si>
  <si>
    <t>mail@7nip-artem.att.sch.gr</t>
  </si>
  <si>
    <t>ΑΡΤΕΜΙΔΑΣ</t>
  </si>
  <si>
    <t>ΑΓΙΟΥ ΚΩΝΣΤΑΝΤΙΝΟΥ ΚΑΙ ΕΛΕΝΗΣ ΚΑΙ ΑΛΕΞΑΝΔΡΑΣ</t>
  </si>
  <si>
    <t>4ο ΝΗΠΙΑΓΩΓΕΙΟ ΝΕΑΣ ΜΑΚΡΗΣ</t>
  </si>
  <si>
    <t>mail@4nip-n-makris.att.sch.gr</t>
  </si>
  <si>
    <t>ΑΓ. ΑΝΔΡΕΑΣ Ν. ΜΑΚΡΗ</t>
  </si>
  <si>
    <t>Ε΄ ΠΑΙΔΙΚΗ ΕΞΟΧΗ ΠΟΣΕΙΔΩΝΟΣ 33</t>
  </si>
  <si>
    <t>2ο ΔΗΜΟΤΙΚΟ ΣΧΟΛΕΙΟ ΑΝΑΒΥΣΣΟΥ</t>
  </si>
  <si>
    <t>mail@2dim-anavyss.att.sch.gr</t>
  </si>
  <si>
    <t>ΠΥΡΙΧΟΥ 7 ΚΑΙ ΡΟΥΜΕΛΗΣ</t>
  </si>
  <si>
    <t>4ο ΔΗΜΟΤΙΚΟ ΣΧΟΛΕΙΟ ΚΕΡΑΤΕΑΣ</t>
  </si>
  <si>
    <t>mail@4dim-kerat.att.sch.gr</t>
  </si>
  <si>
    <t>ΣΠΥΡΟΥ ΜΥΡΙΛΑ 2</t>
  </si>
  <si>
    <t>5ο ΔΗΜΟΤΙΚΟ ΣΧΟΛΕΙΟ ΚΟΡΩΠΙΟΥ</t>
  </si>
  <si>
    <t>mail@5dim-korop.att.sch.gr</t>
  </si>
  <si>
    <t>Κ. Δ. ΘΕΟΔΟΣΙΟΥ 10 &amp; ΑΦΡΟΔΙΤΗΣ</t>
  </si>
  <si>
    <t>3ο ΔΗΜΟΤΙΚΟ ΣΧΟΛΕΙΟ ΠΟΡΤΟ ΡΑΦΤΗ</t>
  </si>
  <si>
    <t>mail@3dim-porto-raft.att.sch.gr</t>
  </si>
  <si>
    <t>ΚΑΡΟΛΟΥ ΚΟΥΝ 3</t>
  </si>
  <si>
    <t>4ο  ΝΗΠΙΑΓΩΓΕΙΟ ΚΕΡΑΤΕΑΣ</t>
  </si>
  <si>
    <t>mail@4nip-kerat.att.sch.gr</t>
  </si>
  <si>
    <t>ΚΩΝΣΤΑΝΤΙΝΟΥ ΒΑΡΝΑΛΗ 10</t>
  </si>
  <si>
    <t>3ο ΝΗΠΙΑΓΩΓΕΙΟ ΘΡΑΚΟΜΑΚΕΔΟΝΩΝ</t>
  </si>
  <si>
    <t>mail@3nip-thrak.att.sch.gr</t>
  </si>
  <si>
    <t>ΗΦΑΙΣΤΙΩΝΟΣ &amp; ΑΡΙΣΤΟΤΕΛΟΥΣ</t>
  </si>
  <si>
    <t>36ο ΝΗΠΙΑΓΩΓΕΙΟ ΑΧΑΡΝΩΝ</t>
  </si>
  <si>
    <t>mail@36nip-acharn.att.sch.gr</t>
  </si>
  <si>
    <t>Ανδριτσαινης 15 Αυλίζα</t>
  </si>
  <si>
    <t>5ο ΝΗΠΙΑΓΩΓΕΙΟ ΜΑΡΚΟΠΟΥΛΟΥ</t>
  </si>
  <si>
    <t>mail@5nip-markop.att.sch.gr</t>
  </si>
  <si>
    <t>ΜΑΡΚΟΠΟΥΛΟ ΑΤΤΙΚΗΣ</t>
  </si>
  <si>
    <t>Β.ΠΕΤΟΥΡΗ  17</t>
  </si>
  <si>
    <t>6ο ΝΗΠΙΑΓΩΓΕΙΟ ΚΟΡΩΠΙΟΥ</t>
  </si>
  <si>
    <t>mail@6nip-korop.att.sch.gr</t>
  </si>
  <si>
    <t>Δημ. Χριστοδούλου 3</t>
  </si>
  <si>
    <t>3ο  ΝΗΠΙΑΓΩΓΕΙΟ ΚΡΥΟΝΕΡΙΟΥ</t>
  </si>
  <si>
    <t>mail@3nip-kryon.att.sch.gr</t>
  </si>
  <si>
    <t>ΚΡΥΟΝΕΡΙΟΥ</t>
  </si>
  <si>
    <t>ΠΛΑΤΕΙΑ ΜΙΚΡΑΣ ΑΣΙΑΣ  49</t>
  </si>
  <si>
    <t>4ο ΝΗΠΙΑΓΩΓΕΙΟ ΑΓΙΟΥ ΣΤΕΦΑΝΟΥ</t>
  </si>
  <si>
    <t>mail@4nip-ag-stefan.att.sch.gr</t>
  </si>
  <si>
    <t>ΑΓΙΟΥ ΣΤΕΦΑΝΟΥ</t>
  </si>
  <si>
    <t>ΗΡΩΩΝ ΠΟΛΥΤΕΧΝΕΙΟΥ  2</t>
  </si>
  <si>
    <t>9ο ΝΗΠΙΑΓΩΓΕΙΟ ΓΕΡΑΚΑ</t>
  </si>
  <si>
    <t>mail@9nip-gerak.att.sch.gr</t>
  </si>
  <si>
    <t>EΛΑΙΔΟΣ ΚΑΙ  ΜΥΡΤΙΑΣ</t>
  </si>
  <si>
    <t>5ο ΝΗΠΙΑΓΩΓΕΙΟ ΣΠΑΤΩΝ</t>
  </si>
  <si>
    <t>mail@5nip-spaton.att.sch.gr</t>
  </si>
  <si>
    <t>ΠΕΣΟΝΤΩΝ ΗΡΩΩΝ 11</t>
  </si>
  <si>
    <t>3ο ΔΗΜΟΤΙΚΟ ΣΧΟΛΕΙΟ ΔΙΟΝΥΣΟΥ</t>
  </si>
  <si>
    <t>3dimdionys@sch.gr</t>
  </si>
  <si>
    <t>ΛΕΩΦ. ΣΤΑΜΑΤΑΣ 25A,</t>
  </si>
  <si>
    <t>4ο ΔΗΜΟΤΙΚΟ ΣΧΟΛΕΙΟ ΡΑΦΗΝΑΣ</t>
  </si>
  <si>
    <t>mail@4dim-rafin.att.sch.gr</t>
  </si>
  <si>
    <t>ΣΤΡΑΤΟΥ ΑΝΤΩΝΙΑΔΗ</t>
  </si>
  <si>
    <t>8ο ΔΗΜΟΤΙΚΟ ΣΧΟΛΕΙΟ ΓΕΡΑΚΑ</t>
  </si>
  <si>
    <t>mail@8dim-gerak.att.sch.gr</t>
  </si>
  <si>
    <t>ΝΑΥΑΡΙΝΟΥ 43</t>
  </si>
  <si>
    <t>4ο ΔΗΜΟΤΙΚΟ ΣΧΟΛΕΙΟ ΔΙΟΝΥΣΟΥ</t>
  </si>
  <si>
    <t>mail@4dim-dionys.att.sch.gr</t>
  </si>
  <si>
    <t>ΝΑΠΟΛΕΟΝΤΟΣ ΖΕΡΒΑ 4</t>
  </si>
  <si>
    <t>11ο ΝΗΠΙΑΓΩΓΕΙΟ ΓΕΡΑΚΑ</t>
  </si>
  <si>
    <t>mail@11nip-gerak.att.sch.gr</t>
  </si>
  <si>
    <t>ΝΙΚΗΤΑΡΑ ΚΑΙ ΝΑΥΑΡΙΝΟΥ</t>
  </si>
  <si>
    <t>8ο ΝΗΠΙΑΓΩΓΕΙΟ ΑΡΤΕΜΙΔΑΣ</t>
  </si>
  <si>
    <t>mail@8nip-artem.att.sch.gr</t>
  </si>
  <si>
    <t>Αρτέμιδα</t>
  </si>
  <si>
    <t>Εθνικής Αντιστάσεως 74Α</t>
  </si>
  <si>
    <t>Π.Ε. Β΄ ΑΘΗΝΑΣ</t>
  </si>
  <si>
    <t>1ο ΝΗΠΙΑΓΩΓΕΙΟ ΒΡΙΛΗΣΣΙΩΝ</t>
  </si>
  <si>
    <t>mail@1nip-vriliss.att.sch.gr</t>
  </si>
  <si>
    <t>ΒΡΙΛΗΣΣΙΩΝ</t>
  </si>
  <si>
    <t>ΒΡΙΛΗΣΣΙΑ</t>
  </si>
  <si>
    <t>ΓΡΑΜΜΟΥ 5</t>
  </si>
  <si>
    <t>1ο ΝΗΠΙΑΓΩΓΕΙΟ ΠΑΛΑΙΟΥ ΨΥΧΙΚΟΥ</t>
  </si>
  <si>
    <t>1nippsychikou@gmail.com</t>
  </si>
  <si>
    <t>ΦΙΛΟΘΕΗΣ - ΨΥΧΙΚΟΥ</t>
  </si>
  <si>
    <t>ΠΑΛΑΙΟΥ ΨΥΧΙΚΟΥ</t>
  </si>
  <si>
    <t>ΚΡΙΝΩΝ 6</t>
  </si>
  <si>
    <t>4ο ΝΗΠΙΑΓΩΓΕΙΟ ΝΕΟΥ ΨΥΧΙΚΟΥ</t>
  </si>
  <si>
    <t>mail@4nip-n-psych.att.sch.gr</t>
  </si>
  <si>
    <t>ΝΕΟ ΨΥΧΙΚΟ</t>
  </si>
  <si>
    <t>ΚΑΡΑΘΕΟΔΩΡΗ ΚΑΙ ΟΥΡΑΝΗ 16</t>
  </si>
  <si>
    <t>5ο  ΝΗΠΙΑΓΩΓΕΙΟ ΒΡΙΛΗΣΣΙΩΝ</t>
  </si>
  <si>
    <t>mail@5nip-vriliss.att.sch.gr</t>
  </si>
  <si>
    <t>ΕΙΚΟΣΤΗΣ ΠΕΜΠΤΗΣ ΜΑΡΤΙΟΥ ΚΑΙ ΜΑΚΕΔΟΝΙΑΣ</t>
  </si>
  <si>
    <t>3ο ΝΗΠΙΑΓΩΓΕΙΟ ΑΓΙΑΣ ΠΑΡΑΣΚΕΥΗΣ - ΧΕΛΜΕΙΟ</t>
  </si>
  <si>
    <t>mail@3nip-ag-parask.att.sch.gr</t>
  </si>
  <si>
    <t>ΑΓΙΑΣ ΠΑΡΑΣΚΕΥΗΣ</t>
  </si>
  <si>
    <t>ΑΓΙΑ ΠΑΡΑΣΚΕΥΗ  ΑΤΤΙΚΗΣ</t>
  </si>
  <si>
    <t>ΨΑΡΡΩΝ 11</t>
  </si>
  <si>
    <t>4ο ΔΗΜΟΤΙΚΟ ΣΧΟΛΕΙΟ ΑΜΑΡΟΥΣΙΟΥ - ΖΕΚΑΚΕΙΟ</t>
  </si>
  <si>
    <t>mail@4dim-amarous.att.sch.gr</t>
  </si>
  <si>
    <t>ΑΜΑΡΟΥΣΙΟΥ</t>
  </si>
  <si>
    <t>ΜΑΡΟΥΣΙ</t>
  </si>
  <si>
    <t>ΣΩΡΟΥ 72</t>
  </si>
  <si>
    <t>1ο ΝΗΠΙΑΓΩΓΕΙΟ ΑΜΑΡΟΥΣΙΟΥ</t>
  </si>
  <si>
    <t>mail@1nip-amarous.att.sch.gr</t>
  </si>
  <si>
    <t>ΝΕΑΠΟΛΕΩΣ 67</t>
  </si>
  <si>
    <t>5ο ΔΗΜΟΤΙΚΟ ΣΧΟΛΕΙΟ ΑΜΑΡΟΥΣΙΟΥ</t>
  </si>
  <si>
    <t>mail@5dim-amarous.att.sch.gr</t>
  </si>
  <si>
    <t>ΑΜΑΡΥΣΙΑΣ ΑΡΤΕΜΙΔΑΣ 15</t>
  </si>
  <si>
    <t>16ο ΔΗΜΟΤΙΚΟ ΣΧΟΛΕΙΟ ΑΜΑΡΟΥΣΙΟΥ</t>
  </si>
  <si>
    <t>mail@16dim-amarous.att.sch.gr</t>
  </si>
  <si>
    <t>Μ. ΑΛΕΞΑΝΔΡΟΥ 44</t>
  </si>
  <si>
    <t>3ο ΔΗΜΟΤΙΚΟ ΣΧΟΛΕΙΟ ΑΜΑΡΟΥΣΙΟΥ</t>
  </si>
  <si>
    <t>mail@3dim-amarous.att.sch.gr</t>
  </si>
  <si>
    <t>ΦΛΟΙΑΣ 33</t>
  </si>
  <si>
    <t>9ο ΝΗΠΙΑΓΩΓΕΙΟ ΑΓΙΑΣ ΠΑΡΑΣΚΕΥΗΣ</t>
  </si>
  <si>
    <t>mail@9nip-ag-parask.att.sch.gr</t>
  </si>
  <si>
    <t>ΑΓΙΑ ΠΑΡΑΣΚΕΥΗ</t>
  </si>
  <si>
    <t>ΕΥΑΓΓΕΛΙΣΤΡΙΑΣ 11A</t>
  </si>
  <si>
    <t>2ο ΔΗΜΟΤΙΚΟ ΣΧΟΛΕΙΟ ΜΕΛΙΣΣΙΩΝ</t>
  </si>
  <si>
    <t>mail@2dim-meliss.att.sch.gr</t>
  </si>
  <si>
    <t>ΠΕΝΤΕΛΗΣ</t>
  </si>
  <si>
    <t>ΜΕΛΙΣΣΙΑ</t>
  </si>
  <si>
    <t>17ης  ΝΟΕΜΒΡΗ 9 &amp; ΡΟΔΩΝΗΣ</t>
  </si>
  <si>
    <t>7ο ΔΗΜΟΤΙΚΟ ΣΧΟΛΕΙΟ ΑΜΑΡΟΥΣΙΟΥ</t>
  </si>
  <si>
    <t>mail@7dim-amarous.att.sch.gr</t>
  </si>
  <si>
    <t>ΠΑΤΜΟΥ 3</t>
  </si>
  <si>
    <t>13ο ΔΗΜΟΤΙΚΟ ΣΧΟΛΕΙΟ ΑΜΑΡΟΥΣΙΟΥ</t>
  </si>
  <si>
    <t>mail@13dim-amarous.att.sch.gr</t>
  </si>
  <si>
    <t>ΔΗΜΗΤΡΙΟΥ ΨΑΡΡΟΥ ΚΑΙ ΒΑΛΤΕΤΣΙΟΥ 12</t>
  </si>
  <si>
    <t>3ο ΔΗΜΟΤΙΚΟ ΣΧΟΛΕΙΟ ΜΕΛΙΣΣΙΩΝ</t>
  </si>
  <si>
    <t>mail@3dim-meliss.att.sch.gr</t>
  </si>
  <si>
    <t>ΑΓ. ΕΙΡΗΝΗΣ 4</t>
  </si>
  <si>
    <t>6ο ΔΗΜΟΤΙΚΟ ΣΧΟΛΕΙΟ ΑΜΑΡΟΥΣΙΟΥ</t>
  </si>
  <si>
    <t>mail@6dim-amarous.att.sch.gr</t>
  </si>
  <si>
    <t>ΚΑΡΑΟΛΗ  ΚΑΙ ΔΗΜΗΤΡΙΟΥ  1</t>
  </si>
  <si>
    <t>4ο ΔΗΜΟΤΙΚΟ ΣΧΟΛΕΙΟ ΜΕΤΑΜΟΡΦΩΣΗΣ</t>
  </si>
  <si>
    <t>mail@4dim-metam.att.sch.gr</t>
  </si>
  <si>
    <t>ΜΕΤΑΜΟΡΦΩΣΕΩΣ</t>
  </si>
  <si>
    <t>Μεταμόρφωση Αττικής</t>
  </si>
  <si>
    <t>ΑΘΗΝΑΣ ΚΑΙ ΑΥΛΩΝΟΣ</t>
  </si>
  <si>
    <t>14ο ΔΗΜΟΤΙΚΟ ΣΧΟΛΕΙΟ ΗΡΑΚΛΕΙΟΥ ΑΤΤΙΚΗΣ</t>
  </si>
  <si>
    <t>mail@14dim-n-irakl.att.sch.gr</t>
  </si>
  <si>
    <t>ΗΡΑΚΛΕΙΟΥ</t>
  </si>
  <si>
    <t>ΗΡΑΚΛΕΙΟ ΑΤΤΙΚΗΣ</t>
  </si>
  <si>
    <t>ΙΩΑΝΝΟΥ ΠΑΠΑΙΩΑΝΝΟΥ 7</t>
  </si>
  <si>
    <t>11ο ΔΗΜΟΤΙΚΟ ΣΧΟΛΕΙΟ ΑΜΑΡΟΥΣΙΟΥ</t>
  </si>
  <si>
    <t>mail@11dim-amarous.att.sch.gr</t>
  </si>
  <si>
    <t>3ο  ΝΗΠΙΑΓΩΓΕΙΟ ΑΜΑΡΟΥΣΙΟΥ</t>
  </si>
  <si>
    <t>mail@3nip-amarous.att.sch.gr</t>
  </si>
  <si>
    <t>4ο ΔΗΜΟΤΙΚΟ ΣΧΟΛΕΙΟ ΚΗΦΙΣΙΑΣ</t>
  </si>
  <si>
    <t>mail@4dim-kifis.att.sch.gr</t>
  </si>
  <si>
    <t>ΚΗΦΙΣΙΑΣ</t>
  </si>
  <si>
    <t>ΚΗΦΙΣΙΑ</t>
  </si>
  <si>
    <t>ΣΟΥΛΙΟΥ 12</t>
  </si>
  <si>
    <t>3ο ΔΗΜΟΤΙΚΟ ΣΧΟΛΕΙΟ ΧΟΛΑΡΓΟΥ - Μ. ΚΟΥΤΣΟΦΤΑΣ Α. ΠΑΝΑΓΙΔΗΣ</t>
  </si>
  <si>
    <t>mail@3dim-cholarg.att.sch.gr</t>
  </si>
  <si>
    <t>ΠΑΠΑΓΟΥ - ΧΟΛΑΡΓΟΥ</t>
  </si>
  <si>
    <t>ΧΟΛΑΡΓΟΣ</t>
  </si>
  <si>
    <t>17ΗΣ ΝΟΕΜΒΡΙΟΥ 119</t>
  </si>
  <si>
    <t>1ο ΔΗΜΟΤΙΚΟ ΣΧΟΛΕΙΟ ΠΕΥΚΗΣ</t>
  </si>
  <si>
    <t>mail@1dim-pefkis.att.sch.gr</t>
  </si>
  <si>
    <t>ΛΥΚΟΒΡΥΣΗΣ - ΠΕΥΚΗΣ</t>
  </si>
  <si>
    <t>ΠΕΥΚΗ</t>
  </si>
  <si>
    <t>ΙΩΑΝΝΙΝΩΝ 24</t>
  </si>
  <si>
    <t>7ο  ΝΗΠΙΑΓΩΓΕΙΟ ΑΓΙΑΣ ΠΑΡΑΣΚΕΥΗΣ</t>
  </si>
  <si>
    <t>mail@7nip-ag-parask.att.sch.gr</t>
  </si>
  <si>
    <t>ΛΟΥΚΗ ΑΚΡΙΤΑ ΚΑΙ ΑΓΙΟΥ ΔΗΜΗΤΡΙΟΥ ΝΑΥΠΑΚΤΙΑΣ</t>
  </si>
  <si>
    <t>2ο ΝΗΠΙΑΓΩΓΕΙΟ ΧΟΛΑΡΓΟΥ</t>
  </si>
  <si>
    <t>n2xolargos@hotmail.com</t>
  </si>
  <si>
    <t>17ης ΝΟΕΜΒΡΙΟΥ 119</t>
  </si>
  <si>
    <t>5ο ΝΗΠΙΑΓΩΓΕΙΟ ΧΟΛΑΡΓΟΥ</t>
  </si>
  <si>
    <t>mail@5nip-cholarg.att.sch.gr</t>
  </si>
  <si>
    <t>ΑΡΤΕΜΙΔΟΣ 59</t>
  </si>
  <si>
    <t>5ο ΔΗΜΟΤΙΚΟ ΣΧΟΛΕΙΟ ΧΟΛΑΡΓΟΥ</t>
  </si>
  <si>
    <t>5dimcholarg@sch.gr</t>
  </si>
  <si>
    <t>ΣΑΡΑΝΤΑΠΟΡΟΥ 78</t>
  </si>
  <si>
    <t>5ο ΔΗΜΟΤΙΚΟ ΣΧΟΛΕΙΟ ΚΗΦΙΣΙΑΣ</t>
  </si>
  <si>
    <t>mail@5dim-kifis.att.sch.gr</t>
  </si>
  <si>
    <t>ΠΑΥΛΟΥ ΜΠΑΚΟΓΙΑΝΝΗ 31</t>
  </si>
  <si>
    <t>2ο ΝΗΠΙΑΓΩΓΕΙΟ ΑΓΙΑΣ ΠΑΡΑΣΚΕΥΗΣ</t>
  </si>
  <si>
    <t>mail@2nip-ag-parask.att.sch.gr</t>
  </si>
  <si>
    <t>ΛΕΩΝΙΔΟΥ 8</t>
  </si>
  <si>
    <t>12ο ΝΗΠΙΑΓΩΓΕΙΟ ΑΓΙΑΣ ΠΑΡΑΣΚΕΥΗΣ</t>
  </si>
  <si>
    <t>mail@12nip-ag-parask.att.sch.gr</t>
  </si>
  <si>
    <t>ΨΑΡΡΩΝ  5</t>
  </si>
  <si>
    <t>8ο ΝΗΠΙΑΓΩΓΕΙΟ ΑΓΙΑΣ ΠΑΡΑΣΚΕΥΗΣ</t>
  </si>
  <si>
    <t>mail@8nip-ag-parask.att.sch.gr</t>
  </si>
  <si>
    <t>ΧΕΙΛΩΝΩΣ 19</t>
  </si>
  <si>
    <t>4ο ΝΗΠΙΑΓΩΓΕΙΟ ΑΓΙΑΣ ΠΑΡΑΣΚΕΥΗΣ</t>
  </si>
  <si>
    <t>mail@4nip-ag-parask.att.sch.gr</t>
  </si>
  <si>
    <t>ΧΙΟΥ-ΤΣΙΜΙΣΚΗ</t>
  </si>
  <si>
    <t>8ο ΔΗΜΟΤΙΚΟ ΣΧΟΛΕΙΟ ΑΓΙΑΣ ΠΑΡΑΣΚΕΥΗΣ</t>
  </si>
  <si>
    <t>mail@8dim-ag-parask.att.sch.gr</t>
  </si>
  <si>
    <t>ΑΓ. ΠΑΡΑΣΚΕΥΗ</t>
  </si>
  <si>
    <t>ΡΗΓΑ ΦΕΡΑΙΟΥ 3</t>
  </si>
  <si>
    <t>15ο ΔΗΜΟΤΙΚΟ ΣΧΟΛΕΙΟ ΑΜΑΡΟΥΣΙΟΥ</t>
  </si>
  <si>
    <t>mail@15dim-amarous.att.sch.gr</t>
  </si>
  <si>
    <t>ΜΑΚΡΥΓΙΑΝΝΗ  7</t>
  </si>
  <si>
    <t>2ο ΔΗΜΟΤΙΚΟ ΣΧΟΛΕΙΟ ΧΟΛΑΡΓΟΥ</t>
  </si>
  <si>
    <t>mail@2dim-cholarg.att.sch.gr</t>
  </si>
  <si>
    <t>17ης  ΝΟΕΜΒΡΙΟΥ 119</t>
  </si>
  <si>
    <t>1ο ΔΗΜΟΤΙΚΟ ΣΧΟΛΕΙΟ ΜΕΛΙΣΣΙΩΝ</t>
  </si>
  <si>
    <t>mail@1dim-meliss.att.sch.gr</t>
  </si>
  <si>
    <t>ΘΕΡΜΟΠΥΛΩΝ 4</t>
  </si>
  <si>
    <t>8ο ΝΗΠΙΑΓΩΓΕΙΟ ΝΕΑΣ ΙΩΝΙΑΣ</t>
  </si>
  <si>
    <t>mail@8nip-n-ionias.att.sch.gr</t>
  </si>
  <si>
    <t>ΝΕΑΣ ΙΩΝΙΑΣ</t>
  </si>
  <si>
    <t>ΝΕΑ ΙΩΝΙΑ</t>
  </si>
  <si>
    <t>ΚΙΛΚΙΣ 1 ΚΑΙ ΜΕΤΡΩΝ</t>
  </si>
  <si>
    <t>2ο ΔΗΜΟΤΙΚΟ ΣΧΟΛΕΙΟ ΝΕΑΣ ΙΩΝΙΑΣ</t>
  </si>
  <si>
    <t>mail@2dim-n-ionias.att.sch.gr</t>
  </si>
  <si>
    <t>ΚΙΛΚΙΣ 1 &amp; ΑΛΕΚΟΥ ΠΑΝΑΓΟΥΛΗ</t>
  </si>
  <si>
    <t>6ο ΔΗΜΟΤΙΚΟ ΣΧΟΛΕΙΟ ΚΗΦΙΣΙΑΣ "ΠΗΝΕΛΟΠΗ ΔΕΛΤΑ"</t>
  </si>
  <si>
    <t>mail@6dim-kifis.att.sch.gr</t>
  </si>
  <si>
    <t>ΛΑΜΠΡΟΥ ΚΑΤΣΩΝΗ 53</t>
  </si>
  <si>
    <t>1ο ΔΗΜΟΤΙΚΟ ΣΧΟΛΕΙΟ ΨΥΧΙΚΟΥ</t>
  </si>
  <si>
    <t>mail@1dim-psych.att.sch.gr</t>
  </si>
  <si>
    <t>ΨΥΧΙΚΟ</t>
  </si>
  <si>
    <t>ΔΗΜΟΚΡΑΤΙΑΣ 23</t>
  </si>
  <si>
    <t>11ο ΝΗΠΙΑΓΩΓΕΙΟ ΝΕΑΣ ΙΩΝΙΑΣ</t>
  </si>
  <si>
    <t>mail@11nip-n-ionias.att.sch.gr</t>
  </si>
  <si>
    <t>ΣΟΛΩΝΟΣ 38</t>
  </si>
  <si>
    <t>8ο ΔΗΜΟΤΙΚΟ ΣΧΟΛΕΙΟ ΑΜΑΡΟΥΣΙΟΥ</t>
  </si>
  <si>
    <t>mail@8dim-amarous.att.sch.gr</t>
  </si>
  <si>
    <t>ΜΑΡΑΘΩΝΟΔΡΟΜΟΥ 54</t>
  </si>
  <si>
    <t>1ο ΔΗΜΟΤΙΚΟ ΣΧΟΛΕΙΟ  ΠΑΠΑΓΟΥ</t>
  </si>
  <si>
    <t>mail@1dim-papag.att.sch.gr</t>
  </si>
  <si>
    <t>ΠΑΠΑΓΟΥ</t>
  </si>
  <si>
    <t>ΙΩΝΙΑΣ &amp; ΣΩΡΑΝΟΥ   ΤΟΥ ΕΦΕΣΙΟΥ</t>
  </si>
  <si>
    <t>ΔΗΜΟΤΙΚΟ ΣΧΟΛΕΙΟ ΝΕΑΣ ΠΕΝΤΕΛΗΣ</t>
  </si>
  <si>
    <t>mail@dim-n-pentel.att.sch.gr</t>
  </si>
  <si>
    <t>ΝΕΑ ΠΕΝΤΕΛΗ</t>
  </si>
  <si>
    <t>ΑΡΓΥΡΟΚΑΣΤΡΟΥ 2</t>
  </si>
  <si>
    <t>2ο ΔΗΜΟΤΙΚΟ ΣΧΟΛΕΙΟ ΧΑΛΑΝΔΡΙΟΥ-ΛΙΤΣΕΙΟ</t>
  </si>
  <si>
    <t>mail@2dim-chalandr.att.sch.gr</t>
  </si>
  <si>
    <t>ΧΑΛΑΝΔΡΙΟΥ</t>
  </si>
  <si>
    <t>ΧΑΛΑΝΔΡΙ</t>
  </si>
  <si>
    <t>Φ.ΛΙΤΣΑ ΚΑΙ ΚΑΛΛΙΣΠΕΡΗ</t>
  </si>
  <si>
    <t>4ο ΔΗΜΟΤΙΚΟ ΣΧΟΛΕΙΟ ΧΑΛΑΝΔΡΙΟΥ</t>
  </si>
  <si>
    <t>mail@4dim-chalandr.att.sch.gr</t>
  </si>
  <si>
    <t>ΑΡΙΣΤΟΦΑΝΟΥΣ 79Α  &amp; ΝΕΦΕΛΗΣ</t>
  </si>
  <si>
    <t>5ο ΝΗΠΙΑΓΩΓΕΙΟ ΑΓΙΑΣ ΠΑΡΑΣΚΕΥΗΣ</t>
  </si>
  <si>
    <t>mail@5nip-ag-parask.att.sch.gr</t>
  </si>
  <si>
    <t>ΑΣΗΜΑΚΟΠΟΥΛΟΥ 32</t>
  </si>
  <si>
    <t>9ο ΔΗΜΟΤΙΚΟ ΣΧΟΛΕΙΟ ΑΜΑΡΟΥΣΙΟΥ</t>
  </si>
  <si>
    <t>mail@9dim-amarous.att.sch.gr</t>
  </si>
  <si>
    <t>ΑΥΤ. ΗΡΑΚΛΕΙΟΥ 42</t>
  </si>
  <si>
    <t>1ο ΔΗΜΟΤΙΚΟ ΣΧΟΛΕΙΟ ΝΕΑΣ ΙΩΝΙΑΣ</t>
  </si>
  <si>
    <t>mail@1dim-n-ionias.att.sch.gr</t>
  </si>
  <si>
    <t>ΚΡΗΤΗΣ 77</t>
  </si>
  <si>
    <t>2ο ΔΗΜΟΤΙΚΟ ΣΧΟΛΕΙΟ ΝΕΟΥ ΨΥΧΙΚΟΥ</t>
  </si>
  <si>
    <t>mail@2dim-n-psych.att.sch.gr</t>
  </si>
  <si>
    <t>25ης ΜΑΡΤΙΟΥ 2</t>
  </si>
  <si>
    <t>3ο ΔΗΜΟΤΙΚΟ ΣΧΟΛΕΙΟ ΧΑΛΑΝΔΡΙΟΥ</t>
  </si>
  <si>
    <t>mail@3dim-chalandr.att.sch.gr</t>
  </si>
  <si>
    <t>ΜΑΡΑΘΩΝΟΣ ΚΑΙ ΜΙΚΡΑΣ ΑΣΙΑΣ</t>
  </si>
  <si>
    <t>9ο ΔΗΜΟΤΙΚΟ ΣΧΟΛΕΙΟ ΑΓΙΑΣ ΠΑΡΑΣΚΕΥΗΣ</t>
  </si>
  <si>
    <t>mail@9dim-ag-parask.att.sch.gr</t>
  </si>
  <si>
    <t>ΑΓΙΟΥ ΔΗΜΗΤΡΙΟΥ ΝΑΥΠΑΚΤΙΑΣ</t>
  </si>
  <si>
    <t>2ο ΟΛΟΗΜΕΡΟ ΔΗΜΟΤΙΚΟ ΣΧΟΛΕΙΟ ΕΚΑΛΗ - ΖΑΝΝΕΙΟ</t>
  </si>
  <si>
    <t>mail@dim-ekalis-zanneio.att.sch.gr</t>
  </si>
  <si>
    <t>ΕΚΑΛΗ</t>
  </si>
  <si>
    <t>ΘΗΣΕΩΣ 131</t>
  </si>
  <si>
    <t>12ο ΔΗΜΟΤΙΚΟ ΣΧΟΛΕΙΟ ΧΑΛΑΝΔΡΙΟΥ</t>
  </si>
  <si>
    <t>mail@12dim-chalandr.att.sch.gr</t>
  </si>
  <si>
    <t>Χαλάνδρι</t>
  </si>
  <si>
    <t>ΙΩΑΝΝΙΝΩΝ 38 ΚΑΙ ΤΑΫΓΕΤΟΥ</t>
  </si>
  <si>
    <t>4ο ΝΗΠΙΑΓΩΓΕΙΟ ΧΟΛΑΡΓΟΥ</t>
  </si>
  <si>
    <t>mail@4nip-cholarg.att.sch.gr</t>
  </si>
  <si>
    <t>ΦΑΝΕΡΩΜΕΝΗΣ 31</t>
  </si>
  <si>
    <t>1ο ΔΗΜΟΤΙΚΟ ΣΧΟΛΕΙΟ ΑΓΙΑΣ ΠΑΡΑΣΚΕΥΗΣ</t>
  </si>
  <si>
    <t>mail@1dim-ag-parask.att.sch.gr</t>
  </si>
  <si>
    <t>ΑΓΙΟΥ ΙΩΑΝΝΟΥ 27</t>
  </si>
  <si>
    <t>4ο ΟΛΟΗΜΕΡΟ ΝΗΠΙΑΓΩΓΕΙΟ ΚΗΦΙΣΙΑ</t>
  </si>
  <si>
    <t>mail@4nip-kifis.att.sch.gr</t>
  </si>
  <si>
    <t>ΑΓΓΕΛΟΥ ΓΟΥΛΑΝΔΡΗ 3</t>
  </si>
  <si>
    <t>1ο ΔΗΜΟΤΙΚΟ ΣΧΟΛΕΙΟ ΑΜΑΡΟΥΣΙΟΥ</t>
  </si>
  <si>
    <t>mail@1dim-amarous.att.sch.gr</t>
  </si>
  <si>
    <t>ΚΗΦΙΣΙΑΣ 211</t>
  </si>
  <si>
    <t>7ο ΔΗΜΟΤΙΚΟ ΣΧΟΛΕΙΟ ΝΕΑΣ ΙΩΝΙΑΣ</t>
  </si>
  <si>
    <t>mail@7dim-n-ionias.att.sch.gr</t>
  </si>
  <si>
    <t>ΑΝΤΙΓΟΝΗΣ 1</t>
  </si>
  <si>
    <t>3ο ΔΗΜΟΤΙΚΟ ΣΧΟΛΕΙΟ ΠΕΥΚΗΣ</t>
  </si>
  <si>
    <t>mail@3dim-pefkis.att.sch.gr</t>
  </si>
  <si>
    <t>ΚΟΡΙΝΘΟΥ 5  &amp; ΚΑΛΥΜΝΟΥ</t>
  </si>
  <si>
    <t>5ο ΔΗΜΟΤΙΚΟ ΣΧΟΛΕΙΟ ΑΓΙΑΣ ΠΑΡΑΣΚΕΥΗΣ - ΧΕΛΜΕΙΟ</t>
  </si>
  <si>
    <t>mail@5dim-ag-parask.att.sch.gr</t>
  </si>
  <si>
    <t>ΨΑΡΩΝ 11</t>
  </si>
  <si>
    <t>19ο ΔΗΜΟΤΙΚΟ ΣΧΟΛΕΙΟ ΝΕΑΣ ΙΩΝΙΑΣ</t>
  </si>
  <si>
    <t>mail@19dim-n-ionias.att.sch.gr</t>
  </si>
  <si>
    <t>Νέα Ιωνία</t>
  </si>
  <si>
    <t>ΑΓΙΑΣ ΑΝΑΣΤΑΣΙΑΣ 4</t>
  </si>
  <si>
    <t>5ο ΔΗΜΟΤΙΚΟ ΣΧΟΛΕΙΟ ΧΑΛΑΝΔΡΙΟΥ</t>
  </si>
  <si>
    <t>mail@5dim-chalandr.att.sch.gr</t>
  </si>
  <si>
    <t>ΒΡΙΛΗΣΣΙΩΝ 2</t>
  </si>
  <si>
    <t>6ο ΔΗΜΟΤΙΚΟ ΣΧΟΛΕΙΟ ΧΑΛΑΝΔΡΙΟΥ</t>
  </si>
  <si>
    <t>mail@6dim-chalandr.att.sch.gr</t>
  </si>
  <si>
    <t>ΦΙΛΙΚΗΣ ΕΤΑΙΡΕΙΑΣ 2</t>
  </si>
  <si>
    <t>2ο ΔΗΜΟΤΙΚΟ ΣΧΟΛΕΙΟ ΑΓΙΑΣ ΠΑΡΑΣΚΕΥΗΣ</t>
  </si>
  <si>
    <t>2dimagpara@sch.gr</t>
  </si>
  <si>
    <t>ΤΕΡΜΑ ΖΕΦΥΡΩΝ</t>
  </si>
  <si>
    <t>2ο  ΝΗΠΙΑΓΩΓΕΙΟ ΝΕΟΥ ΗΡΑΚΛΕΙΟΥ</t>
  </si>
  <si>
    <t>mail@2nip-n-irakl.att.sch.gr</t>
  </si>
  <si>
    <t>ΝΕΟΥ ΗΡΑΚΛΕΙΟΥ</t>
  </si>
  <si>
    <t>ΙΑΚΩΒΙΔΟΥ ΚΑΙ ΠΙΤΛΙΓΚΕΡ</t>
  </si>
  <si>
    <t>3ο ΝΗΠΙΑΓΩΓΕΙΟ  ΗΡΑΚΛΕΙΟΥ ΑΤΤΙΚΗΣ</t>
  </si>
  <si>
    <t>mail@3nip-n-irakl.att.sch.gr</t>
  </si>
  <si>
    <t>ΗΡΩΣ ΚΩΝΣΤΑΝΤΟΠΟΥΛΟΥ 1</t>
  </si>
  <si>
    <t>8ο ΔΗΜΟΤΙΚΟ ΣΧΟΛΕΙΟ ΚΗΦΙΣΙΑΣ</t>
  </si>
  <si>
    <t>mail@8dim-kifis.att.sch.gr</t>
  </si>
  <si>
    <t>ΠΕΛΟΠΟΝΝΗΣΟΥ ΚΑΙ ΝΑΥΠΛΙΟΥ</t>
  </si>
  <si>
    <t>2ο ΔΗΜΟΤΙΚΟ ΣΧΟΛΕΙΟ ΝΕΑΣ ΕΡΥΘΡΑΙΑΣ</t>
  </si>
  <si>
    <t>mail@2dim-n-eryth.att.sch.gr</t>
  </si>
  <si>
    <t>ΝΕΑ  ΕΡΥΘΡΑΙΑ</t>
  </si>
  <si>
    <t>ΣΠΕΤΣΩΝ ΚΑΙ ΨΑΡΩΝ</t>
  </si>
  <si>
    <t>1ο  ΔΗΜΟΤΙΚΟ ΣΧΟΛΕΙΟ ΝΕΑΣ ΕΡΥΘΡΑΙΑΣ</t>
  </si>
  <si>
    <t>mail@1dim-n-erythr.att.sch.gr</t>
  </si>
  <si>
    <t>Ν.  ΕΡΥΘΡΑΙΑ</t>
  </si>
  <si>
    <t>ΕΛΕΥΘΕΡΙΟΥ ΒΕΝΙΖΕΛΟΥ &amp; ΚΑΡΑΣΤΑΜΑΤΗ  ΑΛΕΞΑΚΗ</t>
  </si>
  <si>
    <t>3ο ΔΗΜΟΤΙΚΟ ΣΧΟΛΕΙΟ ΝΕΑΣ ΕΡΥΘΡΑΙΑΣ</t>
  </si>
  <si>
    <t>mail@3dim-n-erythr.att.sch.gr</t>
  </si>
  <si>
    <t>ΝΕΑ ΕΡΥΘΡΑΙΑ</t>
  </si>
  <si>
    <t>ΨΑΡΩΝ 1 ΚΑΙ ΣΠΕΤΣΩΝ</t>
  </si>
  <si>
    <t>5ο ΝΗΠΙΑΓΩΓΕΙΟ ΑΜΑΡΟΥΣΙΟΥ</t>
  </si>
  <si>
    <t>mail@5nip-amarous.att.sch.gr</t>
  </si>
  <si>
    <t>ΑΝΤΩΝΙΟΥ ΠΑΡΑΣΚΕΥΑ 18</t>
  </si>
  <si>
    <t>11ο ΔΗΜΟΤΙΚΟ ΣΧΟΛΕΙΟ ΧΑΛΑΝΔΡΙΟΥ</t>
  </si>
  <si>
    <t>mail@11dim-chalandr.att.sch.gr</t>
  </si>
  <si>
    <t>ΚΡΙΝΩΝ 24 &amp; ΚΡΙΕΖΗ</t>
  </si>
  <si>
    <t>3ο ΝΗΠΙΑΓΩΓΕΙΟ ΚΗΦΙΣΙΑΣ</t>
  </si>
  <si>
    <t>mail@3nip-kifis.att.sch.gr</t>
  </si>
  <si>
    <t>ΕΛΑΙΩΝ ΚΑΙ ΠΗΓΑΣΟΥ 2</t>
  </si>
  <si>
    <t>5ο  ΝΗΠΙΑΓΩΓΕΙΟ ΚΗΦΙΣΙΑΣ</t>
  </si>
  <si>
    <t>mail@5nip-kifis.att.sch.gr</t>
  </si>
  <si>
    <t>ΛΕΩΦ. ΚΗΦΙΣΙΑΣ 282</t>
  </si>
  <si>
    <t>7ο ΔΗΜΟΤΙΚΟ ΣΧΟΛΕΙΟ ΑΓΙΑΣ ΠΑΡΑΣΚΕΥΗΣ</t>
  </si>
  <si>
    <t>7dimagpar@sch.gr</t>
  </si>
  <si>
    <t>ΛΥΚΟΥΡΓΟΥ ΚΑΙ ΑΡΤΕΜΩΝΟΣ</t>
  </si>
  <si>
    <t>1ο ΝΗΠΙΑΓΩΓΕΙΟ ΜΕΤΑΜΟΡΦΩΣΗΣ</t>
  </si>
  <si>
    <t>mail@1nip-metam.att.sch.gr</t>
  </si>
  <si>
    <t>ΜΕΤΑΜΟΡΦΩΣΗ</t>
  </si>
  <si>
    <t>ΗΒΗΣ ΚΑΙ ΤΑΤΟΪΟΥ</t>
  </si>
  <si>
    <t>9ο ΝΗΠΙΑΓΩΓΕΙΟ ΚΗΦΙΣΙΑΣ</t>
  </si>
  <si>
    <t>mail@9nip-kifis.att.sch.gr</t>
  </si>
  <si>
    <t>ΕΛΑΙΩΝ ΚΑΙ ΠΗΓΑΣΣΟΥ 2</t>
  </si>
  <si>
    <t>1ο ΔΗΜΟΤΙΚΟ ΣΧΟΛΕΙΟ ΒΡΙΛΗΣΣΙΩΝ</t>
  </si>
  <si>
    <t>mail@1dim-vriliss.att.sch.gr</t>
  </si>
  <si>
    <t>ΦΛΩΡΙΝΗΣ 24</t>
  </si>
  <si>
    <t>2ο ΝΗΠΙΑΓΩΓΕΙΟ ΝΕΑΣ ΙΩΝΙΑΣ ΑΤΤΙΚΗΣ</t>
  </si>
  <si>
    <t>mail@2nip-n-ionias.att.sch.gr</t>
  </si>
  <si>
    <t>ΑΓ ΛΑΥΡΑΣ 43 &amp; ΛΕΥΚΩΣΙΑΣ 5</t>
  </si>
  <si>
    <t>1ο ΔΗΜΟΤΙΚΟ ΣΧΟΛΕΙΟ ΝΕΟΥ ΨΥΧΙΚΟΥ</t>
  </si>
  <si>
    <t>mail@1dim-n-psych.att.sch.gr</t>
  </si>
  <si>
    <t>ΝΕΟ  ΨΥΧΙΚΟ</t>
  </si>
  <si>
    <t>ΓΕΩΡΓΙΟΥ ΣΕΦΕΡΗ 21</t>
  </si>
  <si>
    <t>4ο ΔΗΜΟΤΙΚΟ ΣΧΟΛΕΙΟ ΒΡΙΛΗΣΣΙΩΝ</t>
  </si>
  <si>
    <t>mail@4dim-vriliss.att.sch.gr</t>
  </si>
  <si>
    <t>ΤΕΙΡΕΣΙΟΥ 2 ΚΑΙ ΣΠΑΡΤΗΣ</t>
  </si>
  <si>
    <t>10ο ΔΗΜΟΤΙΚΟ ΣΧΟΛΕΙΟ ΑΜΑΡΟΥΣΙΟΥ</t>
  </si>
  <si>
    <t>mail@10dim-amarous.att.sch.gr</t>
  </si>
  <si>
    <t>ΜΑΝΔΗΛΑΡΑ 1</t>
  </si>
  <si>
    <t>3ο ΝΗΠΙΑΓΩΓΕΙΟ ΛΥΚΟΒΡΥΣΗΣ</t>
  </si>
  <si>
    <t>3niplykov@gmail.com</t>
  </si>
  <si>
    <t>ΛΥΚΟΒΡΥΣΗ</t>
  </si>
  <si>
    <t>ΜΙΑΟΥΛΗ ΚΑΙ ΑΓΙΑΣ ΛΑΥΡΑΣ</t>
  </si>
  <si>
    <t>3ο ΝΗΠΙΑΓΩΓΕΙΟ ΜΕΤΑΜΟΡΦΩΣΗΣ</t>
  </si>
  <si>
    <t>mail@3nip-metam.att.sch.gr</t>
  </si>
  <si>
    <t>ΗΛΕΙΑΣ 27</t>
  </si>
  <si>
    <t>2ο ΝΗΠΙΑΓΩΓΕΙΟ ΜΕΤΑΜΟΡΦΩΣΗΣ</t>
  </si>
  <si>
    <t>mail@2nip-metam.att.sch.gr</t>
  </si>
  <si>
    <t>ΑΘΗΝΑΣ ΚΑΙ ΑΠΟΛΛΩΝΟΣ</t>
  </si>
  <si>
    <t>4ο  ΝΗΠΙΑΓΩΓΕΙΟ ΜΕΤΑΜΟΡΦΩΣΗΣ</t>
  </si>
  <si>
    <t>mail@4nip-metam.att.sch.gr</t>
  </si>
  <si>
    <t>ΔΗΜΗΤΡΗ ΓΛΗΝΟΥ-ΑΓΙΑΣ ΒΑΡΒΑΡΑΣ</t>
  </si>
  <si>
    <t>1ο ΔΗΜΟΤΙΚΟ ΣΧΟΛΕΙΟ ΚΗΦΙΣΙΑΣ ΓΕΩΡΓΙΟΣ ΔΡΟΣΙΝΗΣ</t>
  </si>
  <si>
    <t>mail@1dim-kifis.att.sch.gr</t>
  </si>
  <si>
    <t>ΧΡΗΣΤΟΥ ΛΑΔΑ 18</t>
  </si>
  <si>
    <t>3ο ΝΗΠΙΑΓΩΓΕΙΟ ΜΕΛΙΣΣΙΩΝ</t>
  </si>
  <si>
    <t>mail@3nip-meliss.att.sch.gr</t>
  </si>
  <si>
    <t>ΑΓΙΑΣ ΕΙΡΗΝΗΣ 4</t>
  </si>
  <si>
    <t>6ο ΝΗΠΙΑΓΩΓΕΙΟ ΑΜΑΡΟΥΣΙΟΥ</t>
  </si>
  <si>
    <t>mail@6nip-amarous.att.sch.gr</t>
  </si>
  <si>
    <t>Δ. ΨΑΡΡΟΥ ΚΑΙ ΒΑΛΤΕΤΣΙΟΥ</t>
  </si>
  <si>
    <t>1ο ΝΗΠΙΑΓΩΓΕΙΟ ΝΕΑΣ ΕΡΥΘΡΑΙΑΣ</t>
  </si>
  <si>
    <t>mail@1nip-n-erythr.att.sch.gr</t>
  </si>
  <si>
    <t>ΝΕΑΣ ΕΡΥΘΡΑΙΑΣ</t>
  </si>
  <si>
    <t>ΕΛΕΥΘΕΡΙΟΥ ΒΕΝΙΖΕΛΟΥ 4 ΚΑΙ ΑΡΤΑΚΗ</t>
  </si>
  <si>
    <t>2ο ΝΗΠΙΑΓΩΓΕΙΟ ΠΕΥΚΗΣ</t>
  </si>
  <si>
    <t>mail@2nip-pefkis.att.sch.gr</t>
  </si>
  <si>
    <t>Μ. ΑΣΙΑΣ 6 &amp; ΙΩΑΝΝΙΝΩΝ</t>
  </si>
  <si>
    <t>2ο ΝΗΠΙΑΓΩΓΕΙΟ ΑΜΑΡΟΥΣΙΟΥ</t>
  </si>
  <si>
    <t>mail@2nip-amarous.att.sch.gr</t>
  </si>
  <si>
    <t>4ο ΝΗΠΙΑΓΩΓΕΙΟ ΝΕΟΥ ΗΡΑΚΛΕΙΟΥ</t>
  </si>
  <si>
    <t>mail@4nip-irakl.att.sch.gr</t>
  </si>
  <si>
    <t>ΠΑΠΑΙΩΑΝΝΟΥ ΚΑΙ ΠΑΠΑΔΑΚΗ</t>
  </si>
  <si>
    <t>ΔΗΜΟΤΙΚΟ ΣΧΟΛΕΙΟ ΦΙΛΟΘΕΗΣ</t>
  </si>
  <si>
    <t>dimfil@sch.gr</t>
  </si>
  <si>
    <t>ΦΙΛΟΘΕΗ</t>
  </si>
  <si>
    <t>ΚΕΧΑΓΙΑ &amp; ΖΩΣΙΜΑ</t>
  </si>
  <si>
    <t>1ο ΔΗΜΟΤΙΚΟ ΣΧΟΛΕΙΟ ΠΕΝΤΕΛΗΣ - ΚΡΥΣΤΑΛΛΕΙΟ</t>
  </si>
  <si>
    <t>mail@dim-pentel.att.sch.gr</t>
  </si>
  <si>
    <t>ΠΕΝΤΕΛΗ</t>
  </si>
  <si>
    <t>ΗΓΟΥΜ. ΜΑΚΡΥΓΙΑΝΝΗ 4</t>
  </si>
  <si>
    <t>4ο ΝΗΠΙΑΓΩΓΕΙΟ ΑΜΑΡΟΥΣΙΟΥ - ΖΕΚΑΚΕΙΟ</t>
  </si>
  <si>
    <t>mail@4nip-amarous.att.sch.gr</t>
  </si>
  <si>
    <t>ΖΕΚΑΚΟΥ 7</t>
  </si>
  <si>
    <t>13ο  ΝΗΠΙΑΓΩΓΕΙΟ  ΑΓΙΑΣ  ΠΑΡΑΣΚΕΥΗΣ</t>
  </si>
  <si>
    <t>mail@13nip-ag-parask.att.sch.gr</t>
  </si>
  <si>
    <t>ΘΡΑΣΥΒΟΥΛΟΥ 8</t>
  </si>
  <si>
    <t>2ο ΝΗΠΙΑΓΩΓΕΙΟ ΜΕΛΙΣΣΙΩΝ</t>
  </si>
  <si>
    <t>mail@2nip-meliss.att.sch.gr</t>
  </si>
  <si>
    <t>ΓΡΑΜΜΟΥ 8</t>
  </si>
  <si>
    <t>1ο ΝΗΠΙΑΓΩΓΕΙΟ ΝΕΑΣ ΙΩΝΙΑΣ</t>
  </si>
  <si>
    <t>protonipiagogion.ionias@yahoo.gr</t>
  </si>
  <si>
    <t>ΓΡΗΓΟΡΙΟΥ Ε κ'  ΙΚΑΡΙΑΣ</t>
  </si>
  <si>
    <t>3ο ΝΗΠΙΑΓΩΓΕΙΟ ΝΕΑΣ ΙΩΝΙΑΣ</t>
  </si>
  <si>
    <t>mail@3nip-n-ionias.att.sch.gr</t>
  </si>
  <si>
    <t>ΝΕΑ  ΙΩΝΙΑ</t>
  </si>
  <si>
    <t>ΜΟΥΤΑΛΑΣΚΗ 47</t>
  </si>
  <si>
    <t>1ο ΝΗΠΙΑΓΩΓΕΙΟ ΧΟΛΑΡΓΟΥ</t>
  </si>
  <si>
    <t>mail@1nip-cholarg.att.sch.gr</t>
  </si>
  <si>
    <t>ΦΕΙΔΙΟΥ 12</t>
  </si>
  <si>
    <t>11ο ΝΗΠΙΑΓΩΓΕΙΟ ΑΓΙΑΣ ΠΑΡΑΣΚΕΥΗΣ</t>
  </si>
  <si>
    <t>mail@11nip-ag-parask.att.sch.gr</t>
  </si>
  <si>
    <t>ΜΠΟΥΜΠΟΥΛΙΝΑΣ 4Α</t>
  </si>
  <si>
    <t>3ο ΝΗΠΙΑΓΩΓΕΙΟ ΧΟΛΑΡΓΟΥ</t>
  </si>
  <si>
    <t>nipiagogeio3@yahoo.gr</t>
  </si>
  <si>
    <t>ΝΑΥΑΡΙΝΟΥ 19</t>
  </si>
  <si>
    <t>6ο ΝΗΠΙΑΓΩΓΕΙΟ ΑΓΙΑΣ ΠΑΡΑΣΚΕΥΗΣ</t>
  </si>
  <si>
    <t>mail@6nip-ag-parask.att.sch.gr</t>
  </si>
  <si>
    <t>ΑΙΤΩΛΙΑΣ 30</t>
  </si>
  <si>
    <t>2ο ΔΗΜΟΤΙΚΟ ΣΧΟΛΕΙΟ ΒΡΙΛΗΣΣΙΩΝ</t>
  </si>
  <si>
    <t>mail@2dim-vriliss.att.sch.gr</t>
  </si>
  <si>
    <t>ΠΑΛΑΙΩΝ ΠΑΤΡΩΝ ΓΕΡΜΑΝΟΥ 23</t>
  </si>
  <si>
    <t>10ο  ΝΗΠΙΑΓΩΓΕΙΟ ΑΜΑΡΟΥΣΙΟΥ</t>
  </si>
  <si>
    <t>mail@10nip-amarous.att.sch.gr</t>
  </si>
  <si>
    <t>Ιερού Λόχου 3Α (ΚΕΝΤΡΙΚΟ)-Δημ. Ράλλη 37 (ΠΑΡΑΡΤΗΜΑ)</t>
  </si>
  <si>
    <t>2ο ΔΗΜΟΤΙΚΟ ΣΧΟΛΕΙΟ ΠΑΠΑΓΟΥ- ΑΛΕΚΟΣ ΦΑΣΙΑΝΟΣ</t>
  </si>
  <si>
    <t>mail@2dim-papag.att.sch.gr</t>
  </si>
  <si>
    <t>ΜΑΚΕΔΟΝΙΑΣ 2</t>
  </si>
  <si>
    <t>3ο ΔΗΜΟΤΙΚΟ ΣΧΟΛΕΙΟ ΠΑΠΑΓΟΥ</t>
  </si>
  <si>
    <t>3papagou@gmail.com</t>
  </si>
  <si>
    <t>5ο ΝΗΠΙΑΓΩΓΕΙΟ ΝΕΑΣ ΙΩΝΙΑΣ</t>
  </si>
  <si>
    <t>mail@5nip-n-ionias.att.sch.gr</t>
  </si>
  <si>
    <t>ΦΕΡΤΕΚΙΟΥ 1</t>
  </si>
  <si>
    <t>1ο ΝΗΠΙΑΓΩΓΕΙΟ ΠΕΥΚΗΣ</t>
  </si>
  <si>
    <t>mail@1nip-pefkis.att.sch.gr</t>
  </si>
  <si>
    <t>ΚΟΥΝΤΟΥΡΙΩΤΟΥ ΚΑΙ ΔΑΓΚΛΗ</t>
  </si>
  <si>
    <t>3ο ΝΗΠΙΑΓΩΓΕΙΟ ΠΕΥΚΗΣ</t>
  </si>
  <si>
    <t>mail@3nip-pefkis.att.sch.gr</t>
  </si>
  <si>
    <t>ΚΑΝΑΡΗ 23</t>
  </si>
  <si>
    <t>1ο ΝΗΠΙΑΓΩΓΕΙΟ ΚΗΦΙΣΙΑΣ</t>
  </si>
  <si>
    <t>mail@1nip-kifis.att.sch.gr</t>
  </si>
  <si>
    <t>ΣΥΓΓΡΟΥ 7 ΚΑΙ ΚΙΘΑΙΡΩΝΟΣ</t>
  </si>
  <si>
    <t>3ο ΔΗΜΟΤΙΚΟ ΣΧΟΛΕΙΟ ΒΡΙΛΗΣΣΙΩΝ</t>
  </si>
  <si>
    <t>mail@3dim-vriliss.att.sch.gr</t>
  </si>
  <si>
    <t>ΕΙΚΟΣΤΗΣ ΠΕΜΠΤΗΣ ΜΑΡΤΙΟΥ ΚΑΙ ΜΑΚΕΔΟΝΙΑΣ 25</t>
  </si>
  <si>
    <t>3ο ΔΗΜΟΤΙΚΟ ΣΧΟΛΕΙΟ ΝΕΟΥ ΨΥΧΙΚΟΥ</t>
  </si>
  <si>
    <t>mail@3dim-n-psych.att.sch.gr</t>
  </si>
  <si>
    <t>Νέο Ψυχικό</t>
  </si>
  <si>
    <t>Κ. ΟΥΡΑΝΗ 16</t>
  </si>
  <si>
    <t>4ο ΝΗΠΙΑΓΩΓΕΙΟ ΠΕΥΚΗΣ</t>
  </si>
  <si>
    <t>mail@4nip-pefkis.att.sch.gr</t>
  </si>
  <si>
    <t>ΒΟΥΛΓΑΡΟΚΤΟΝΟΥ ΚΑΙ ΚΑΝΑΡΗ</t>
  </si>
  <si>
    <t>19ο ΝΗΠΙΑΓΩΓΕΙΟ ΝΕΑΣ ΙΩΝΙΑΣ</t>
  </si>
  <si>
    <t>mail@19nip-n-ionias.att.sch.gr</t>
  </si>
  <si>
    <t>22ο ΝΗΠΙΑΓΩΓΕΙΟ ΝΕΑΣ ΙΩΝΙΑΣ</t>
  </si>
  <si>
    <t>mail@22nip-n-ionias.att.sch.gr</t>
  </si>
  <si>
    <t>4ο ΔΗΜΟΤΙΚΟ ΣΧΟΛΕΙΟ ΝΕΟΥ ΨΥΧΙΚΟΥ</t>
  </si>
  <si>
    <t>mail@4dim-n-psych.att.sch.gr</t>
  </si>
  <si>
    <t>ΚΑΡΑΘΕΟΔΩΡΗ ΚΑΙ ΚΩΣΤΗ ΟΥΡΑΝΗ 16</t>
  </si>
  <si>
    <t>7ο ΝΗΠΙΑΓΩΓΕΙΟ ΝΕΑΣ ΙΩΝΙΑΣ ΑΤΤΙΚΗΣ</t>
  </si>
  <si>
    <t>mail@7nip-n-ionias.att.sch.gr</t>
  </si>
  <si>
    <t>Ζηλων 2</t>
  </si>
  <si>
    <t>5ο  ΔΗΜΟΤΙΚΟ ΣΧΟΛΕΙΟ ΒΡΙΛΗΣΣΙΩΝ</t>
  </si>
  <si>
    <t>mail@5dim-vriliss.att.sch.gr</t>
  </si>
  <si>
    <t>ΑΛΦΕΙΟΥ 62</t>
  </si>
  <si>
    <t>6ο ΔΗΜΟΤΙΚΟ ΣΧΟΛΕΙΟ ΒΡΙΛΗΣΣΙΩΝ</t>
  </si>
  <si>
    <t>mail@6dim-vriliss.att.sch.gr</t>
  </si>
  <si>
    <t>ΠΙΕΡΙΩΝ 16</t>
  </si>
  <si>
    <t>7ο ΔΗΜΟΤΙΚΟ ΧΑΛΑΝΔΡΙΟΥ</t>
  </si>
  <si>
    <t>mail@7dim-chalandr.att.sch.gr</t>
  </si>
  <si>
    <t>ΚΡΗΤΗΣ 24 ΚΑΙ ΕΥΡΥΤΑΝΙΑΣ</t>
  </si>
  <si>
    <t>9ο ΔΗΜΟΤΙΚΟ ΣΧΟΛΕΙΟ ΧΑΛΑΝΔΡΙΟΥ</t>
  </si>
  <si>
    <t>mail@9dim-chalandr.att.sch.gr</t>
  </si>
  <si>
    <t>ΖΑΛΟΓΓΟΥ 17</t>
  </si>
  <si>
    <t>10ο ΔΗΜΟΤΙΚΟ ΣΧΟΛΕΙΟ ΧΑΛΑΝΔΡΙΟΥ</t>
  </si>
  <si>
    <t>mail@10dim-chalandr.att.sch.gr</t>
  </si>
  <si>
    <t>9ο ΝΗΠΙΑΓΩΓΕΙΟ ΑΜΑΡΟΥΣΙΟΥ</t>
  </si>
  <si>
    <t>mail@9nip-amarous.att.sch.gr</t>
  </si>
  <si>
    <t>ΥΔΡΑΣ 8</t>
  </si>
  <si>
    <t>5ο ΝΗΠΙΑΓΩΓΕΙΟ ΝΕΟΥ ΗΡΑΚΛΕΙΟΥ</t>
  </si>
  <si>
    <t>mail@5nip-irakl.att.sch.gr</t>
  </si>
  <si>
    <t>ΧΡΥΣΑΝΘΕΜΩΝ 43</t>
  </si>
  <si>
    <t>16ο ΝΗΠΙΑΓΩΓΕΙΟ ΑΜΑΡΟΥΣΙΟΥ</t>
  </si>
  <si>
    <t>mail@16nip-amarous.att.sch.gr</t>
  </si>
  <si>
    <t>ΜΑΚΡΥΓΙΑΝΝΗ 1</t>
  </si>
  <si>
    <t>6ο ΝΗΠΙΑΓΩΓΕΙΟ ΜΕΤΑΜΟΡΦΩΣΗΣ</t>
  </si>
  <si>
    <t>6nipmetam@gmail.com</t>
  </si>
  <si>
    <t>ΨΥΤΤΑΛΕΙΑΣ ΚΑΙ ΡΗΓΑ ΦΕΡΑΙΟΥ</t>
  </si>
  <si>
    <t>2ο ΝΗΠΙΑΓΩΓΕΙΟ ΚΗΦΙΣΙΑΣ</t>
  </si>
  <si>
    <t>mail@2nip-kifis.att.sch.gr</t>
  </si>
  <si>
    <t>ΚΕΔΡΟΥ 2</t>
  </si>
  <si>
    <t>7ο ΝΗΠΙΑΓΩΓΕΙΟ ΚΗΦΙΣΙΑΣ</t>
  </si>
  <si>
    <t>mail@7nip-kifis.att.sch.gr</t>
  </si>
  <si>
    <t>ΦΙΓΑΛΕΙΑΣ ΚΑΙ ΣΦΑΚΤΗΡΙΑΣ</t>
  </si>
  <si>
    <t>8ο  ΝΗΠΙΑΓΩΓΕΙΟ ΚΗΦΙΣΙΑΣ</t>
  </si>
  <si>
    <t>mail@8nip-kifis.att.sch.gr</t>
  </si>
  <si>
    <t>ΠΑΥΛΟΥ ΜΠΑΚΟΓΙΑΝΝΗ 31 B΄</t>
  </si>
  <si>
    <t>4ο ΝΗΠΙΑΓΩΓΕΙΟ ΜΕΛΙΣΣΙΩΝ</t>
  </si>
  <si>
    <t>mail@4nip-meliss.att.sch.gr</t>
  </si>
  <si>
    <t>ΣΩΚΡΑΤΟΥΣ 24</t>
  </si>
  <si>
    <t>6ο ΝΗΠΙΑΓΩΓΕΙΟ ΝΕΑΣ ΙΩΝΙΑΣ</t>
  </si>
  <si>
    <t>mail@6nip-n-ionias.att.sch.gr</t>
  </si>
  <si>
    <t>ΤΖΑΒΕΛΑ ΚΑΙ ΔΕΡΚΩΝ 24</t>
  </si>
  <si>
    <t>5ο ΝΗΠΙΑΓΩΓΕΙΟ ΠΕΥΚΗΣ</t>
  </si>
  <si>
    <t>mail@5nip-pefkis.att.sch.gr</t>
  </si>
  <si>
    <t>ΚΟΡΙΝΘΟΥ ΚΑΙ ΚΑΛΥΜΝΟΥ</t>
  </si>
  <si>
    <t>13ο ΔΗΜΟΤΙΚΟ ΣΧΟΛΕΙΟ ΧΑΛΑΝΔΡΙΟΥ</t>
  </si>
  <si>
    <t>mail@13dim-chalandr.att.sch.gr</t>
  </si>
  <si>
    <t>ΟΛΥΜΠΟΥ 13</t>
  </si>
  <si>
    <t>18ο ΔΗΜΟΤΙΚΟ ΣΧΟΛΕΙΟ ΑΜΑΡΟΥΣΙΟΥ</t>
  </si>
  <si>
    <t>mail@18dim-amarous.att.sch.gr</t>
  </si>
  <si>
    <t>ΣΥΓΓΡΟΥ ΚΑΙ ΙΩΝΟΣ</t>
  </si>
  <si>
    <t>10ο ΔΗΜΟΤΙΚΟ ΣΧΟΛΕΙΟ ΗΡΑΚΛΕΙΟΥ ΑΤΤΙΚΗΣ</t>
  </si>
  <si>
    <t>mail@10dim-n-irakl.att.sch.gr</t>
  </si>
  <si>
    <t xml:space="preserve"> ΗΡΑΚΛΕΙΟ</t>
  </si>
  <si>
    <t>ΜΑΤΡΟΖΟΥ ΚΑΙ ΑΥΓΗΣ</t>
  </si>
  <si>
    <t>7ο ΝΗΠΙΑΓΩΓΕΙΟ ΗΡΑΚΛΕΙΟΥ ΑΤΤΙΚΗΣ</t>
  </si>
  <si>
    <t>mail@7nip-irakl.att.sch.gr</t>
  </si>
  <si>
    <t>ΠΕΥΚΩΝ 110</t>
  </si>
  <si>
    <t>9ο ΔΗΜΟΤΙΚΟ ΣΧΟΛΕΙΟ ΗΡΑΚΛΕΙΟΥ ΑΤΤΙΚΗΣ</t>
  </si>
  <si>
    <t>mail@9dim-irakl.att.sch.gr</t>
  </si>
  <si>
    <t>ΜΑΤΡΟΖΟΥ &amp; ΑΥΓΗΣ</t>
  </si>
  <si>
    <t>1ο ΝΗΠΙΑΓΩΓΕΙΟ ΗΡΑΚΛΕΙΟΥ ΑΤΤΙΚΗΣ</t>
  </si>
  <si>
    <t>mail@1nip-n-irakl.att.sch.gr</t>
  </si>
  <si>
    <t>ΗΛΕΚΤΡΑΣ ΑΠΟΣΤΟΛΟΥ 93</t>
  </si>
  <si>
    <t>8ο ΝΗΠΙΑΓΩΓΕΙΟ ΗΡΑΚΛΕΙΟΥ ΑΤΤΙΚΗΣ</t>
  </si>
  <si>
    <t>mail@8nip-irakl.att.sch.gr</t>
  </si>
  <si>
    <t xml:space="preserve"> ΗΡΑΚΛΕΙΟ ΑΤΤΙΚΗΣ</t>
  </si>
  <si>
    <t>ΥΜΗΤΤΟΥ ΚΑΙ ΠΕΝΤΕΛΗΣ</t>
  </si>
  <si>
    <t>13ο ΔΗΜΟΤΙΚΟ ΣΧΟΛΕΙΟ ΗΡΑΚΛΕΙΟΥ ΑΤΤΙΚΗΣ</t>
  </si>
  <si>
    <t>mail@13dim-n-irakl.att.sch.gr</t>
  </si>
  <si>
    <t xml:space="preserve"> Ηράκλειο, </t>
  </si>
  <si>
    <t>Αγίου Νεκταρίου 2 -</t>
  </si>
  <si>
    <t>9ο ΝΗΠΙΑΓΩΓΕΙΟ ΗΡΑΚΛΕΙΟΥ ΑΤΤΙΚΗΣ</t>
  </si>
  <si>
    <t>mail@9nip-irakl.att.sch.gr</t>
  </si>
  <si>
    <t>ΜΑΚΕΔΟΝΙΑΣ ΚΑΙ ΜΑΤΡΟΖΟΥ</t>
  </si>
  <si>
    <t>1ο Πειραματικό Νηπιαγωγείο Χαλανδρίου</t>
  </si>
  <si>
    <t>mail@1nip-chalandr.att.sch.gr</t>
  </si>
  <si>
    <t>ΚΑΡΑΟΛΗ ΚΑΙ ΔΗΜΗΤΡΙΟΥ 32</t>
  </si>
  <si>
    <t>2ο ΝΗΠΙΑΓΩΓΕΙΟ ΧΑΛΑΝΔΡΙΟΥ</t>
  </si>
  <si>
    <t>mail@2nip-chalandr.att.sch.gr</t>
  </si>
  <si>
    <t>ΦΙΛΙΠΠΟΥ ΛΙΤΣΑ ΚΑΙ ΚΑΛΛΙΣΠΕΡΗ</t>
  </si>
  <si>
    <t>1ο ΝΗΠΙΑΓΩΓΕΙΟ ΠΕΝΤΕΛΗΣ</t>
  </si>
  <si>
    <t>mail@1nip-pentel.att.sch.gr</t>
  </si>
  <si>
    <t>ΤΣΑΚΩΝΑ 6</t>
  </si>
  <si>
    <t>1ο ΝΗΠΙΑΓΩΓΕΙΟ ΝΕΟΥ ΨΥΧΙΚΟΥ</t>
  </si>
  <si>
    <t>mail@1nip-n-psych.att.sch.gr</t>
  </si>
  <si>
    <t>ΟΜΗΡΟΥ ΚΑΙ ΣΕΦΕΡΗ 21</t>
  </si>
  <si>
    <t>1ο  ΝΗΠΙΑΓΩΓΕΙΟ ΠΑΠΑΓΟΥ</t>
  </si>
  <si>
    <t>mail@1nip-papag.att.sch.gr</t>
  </si>
  <si>
    <t>ΠΑΠΑΓΟΣ</t>
  </si>
  <si>
    <t>ΙΩΝΙΑΣ ΚΑΙ ΣΩΡΑΝΟΥ ΕΦΕΣΙΟΥ</t>
  </si>
  <si>
    <t>2ο ΝΗΠΙΑΓΩΓΕΙΟ ΒΡΙΛΗΣΣΙΩΝ</t>
  </si>
  <si>
    <t>2o.nipvrilission@gmail.com</t>
  </si>
  <si>
    <t>ΑΘ. ΔΙΑΚΟΥ 18</t>
  </si>
  <si>
    <t>2ο ΝΗΠΙΑΓΩΓΕΙΟ ΝΕΟΥ ΨΥΧΙΚΟΥ</t>
  </si>
  <si>
    <t>mail@2nip-n-psych.att.sch.gr</t>
  </si>
  <si>
    <t>ΣΟΥΛΙΟΥ ΚΑΙ ΠΑΡΙΤΣΗ</t>
  </si>
  <si>
    <t>2ο ΝΗΠΙΑΓΩΓΕΙΟ ΠΑΠΑΓΟΥ</t>
  </si>
  <si>
    <t>mail@2nip-papag.att.sch.gr</t>
  </si>
  <si>
    <t>3ο ΝΗΠΙΑΓΩΓΕΙΟ ΝΕΟΥ ΨΥΧΙΚΟΥ</t>
  </si>
  <si>
    <t>mail@3nip-n-psych.att.sch.gr</t>
  </si>
  <si>
    <t>3ο ΝΗΠΙΑΓΩΓΕΙΟ ΒΡΙΛΗΣΣΙΩΝ</t>
  </si>
  <si>
    <t>mail@3nip-vriliss.att.sch.gr</t>
  </si>
  <si>
    <t>ΤΕΙΡΕΣΙΟΥ 4</t>
  </si>
  <si>
    <t>3ο ΝΗΠΙΑΓΩΓΕΙΟ ΧΑΛΑΝΔΡΙΟΥ</t>
  </si>
  <si>
    <t>mail@3nip-chalandr.att.sch.gr</t>
  </si>
  <si>
    <t>ΔΕΡΒΕΝΑΚΙΩΝ 1</t>
  </si>
  <si>
    <t>4ο ΝΗΠΙΑΓΩΓΕΙΟ ΧΑΛΑΝΔΡΙΟΥ</t>
  </si>
  <si>
    <t>mail@4nip-chalandr.att.sch.gr</t>
  </si>
  <si>
    <t>ΑΡΙΣΤΟΦΑΝΟΥΣ-ΣΑΛΑΜΙΝΟΣ</t>
  </si>
  <si>
    <t>4ο ΝΗΠΙΑΓΩΓΕΙΟ ΒΡΙΛΗΣΣΙΩΝ</t>
  </si>
  <si>
    <t>mail@4nip-vriliss.att.sch.gr</t>
  </si>
  <si>
    <t>ΑΛΦΕΙΟΥ ΚΑΙ ΧΕΛΜΟΥ</t>
  </si>
  <si>
    <t>5ο  ΝΗΠΙΑΓΩΓΕΙΟ ΧΑΛΑΝΔΡΙΟΥ</t>
  </si>
  <si>
    <t>mail@5nip-chalandr.att.sch.gr</t>
  </si>
  <si>
    <t>ΑΡΓΥΡΟΚΑΣΤΡΟΥ 1 ΚΑΙ ΑΡΚΑΔΙΑΣ</t>
  </si>
  <si>
    <t>6ο ΝΗΠΙΑΓΩΓΕΙΟ ΒΡΙΛΗΣΣΙΩΝ</t>
  </si>
  <si>
    <t>mail@6nip-vriliss.att.sch.gr</t>
  </si>
  <si>
    <t>ΠΙΕΡΙΩΝ 18</t>
  </si>
  <si>
    <t>6ο ΝΗΠΙΑΓΩΓΕΙΟ ΧΑΛΑΝΔΡΙ</t>
  </si>
  <si>
    <t>mail@6nip-chalandr.att.sch.gr</t>
  </si>
  <si>
    <t>ΚΡΗΤΗΣ 24</t>
  </si>
  <si>
    <t>11ο ΝΗΠΙΑΓΩΓΕΙΟ ΧΑΛΑΝΔΡΙΟΥ</t>
  </si>
  <si>
    <t>mail@11nip-chalandr.att.sch.gr</t>
  </si>
  <si>
    <t>ΘΗΣΕΩΣ ΚΑΙ ΕΥΡΙΠΙΔΟΥ</t>
  </si>
  <si>
    <t>13ο  ΝΗΠΙΑΓΩΓΕΙΟ ΧΑΛΑΝΔΡΙΟΥ</t>
  </si>
  <si>
    <t>mail@13nip-chalandr.att.sch.gr</t>
  </si>
  <si>
    <t>ΟΛΥΜΠΟΥ  13</t>
  </si>
  <si>
    <t>14ο ΝΗΠΙΑΓΩΓΕΙΟ ΧΑΛΑΝΔΡΙΟΥ</t>
  </si>
  <si>
    <t>mail@14nip-chalandr.att.sch.gr</t>
  </si>
  <si>
    <t>ΚΡΙΝΩΝ 24</t>
  </si>
  <si>
    <t>15ο ΝΗΠΙΑΓΩΓΕΙΟ ΧΑΛΑΝΔΡΙΟΥ</t>
  </si>
  <si>
    <t>mail@15nip-chalandr.att.sch.gr</t>
  </si>
  <si>
    <t>Έβρου &amp; Χελμού</t>
  </si>
  <si>
    <t>8ο ΝΗΠΙΑΓΩΓΕΙΟ ΧΑΛΑΝΔΡΙΟΥ</t>
  </si>
  <si>
    <t>mail@8nip-chalandr.att.sch.gr</t>
  </si>
  <si>
    <t>12ο ΝΗΠΙΑΓΩΓΕΙΟ  ΗΡΑΚΛΕΙΟΥ</t>
  </si>
  <si>
    <t>mail@12nip-irakl.att.sch.gr</t>
  </si>
  <si>
    <t>ΚΙΘΑΙΡΩΝΟΣ 7-9</t>
  </si>
  <si>
    <t>2ο ΔΗΜΟΤΙΚΟ ΣΧΟΛΕΙΟ ΠΕΥΚΗΣ</t>
  </si>
  <si>
    <t>mail@2dim-pefkis.att.sch.gr</t>
  </si>
  <si>
    <t>ΡΗΓΑ ΦΕΡΑΙΟΥ 17</t>
  </si>
  <si>
    <t>12ο ΝΗΠΙΑΓΩΓΕΙΟ ΧΑΛΑΝΔΡΙΟΥ</t>
  </si>
  <si>
    <t>mail@12nip-chalandr.att.sch.gr</t>
  </si>
  <si>
    <t>ΑΝΔΡΟΥΤΣΟΥ ΚΑΙ ΖΑΛΟΓΓΟΥ 13</t>
  </si>
  <si>
    <t>14ο ΔΗΜΟΤΙΚΟ ΣΧΟΛΕΙΟ ΧΑΛΑΝΔΡΙΟΥ</t>
  </si>
  <si>
    <t>mail@14dim-chalandr.att.sch.gr</t>
  </si>
  <si>
    <t>ΝΗΠΙΑΓΩΓΕΙΟ ΝΕΑΣ ΠΕΝΤΕΛΗΣ</t>
  </si>
  <si>
    <t>nipnpent@sch.gr</t>
  </si>
  <si>
    <t>14ο ΔΗΜΟΤΙΚΟ ΣΧΟΛΕΙΟ ΝΕΑΣ ΙΩΝΙΑΣ</t>
  </si>
  <si>
    <t>mail@14dim-n-ionias.att.sch.gr</t>
  </si>
  <si>
    <t>ΝΕΑ   ΙΩΝΙΑ</t>
  </si>
  <si>
    <t>ΑΦΡΟΔΙΤΗΣ 50 &amp; ΚΥΜΗΣ</t>
  </si>
  <si>
    <t>18ο ΝΗΠΙΑΓΩΓΕΙΟ ΑΜΑΡΟΥΣΙΟΥ</t>
  </si>
  <si>
    <t>mail@18nip-amarous.att.sch.gr</t>
  </si>
  <si>
    <t>ΙΩΝΟΣ 14 και ΣΥΓΓΡΟΥ</t>
  </si>
  <si>
    <t>2ο ΝΗΠΙΑΓΩΓΕΙΟ ΝΕΑΣ ΕΡΥΘΡΑΙΑΣ</t>
  </si>
  <si>
    <t>mail@2nip-n-erythr.att.sch.gr</t>
  </si>
  <si>
    <t>Ν.ΕΡΥΘΡΑΙΑ</t>
  </si>
  <si>
    <t>ΠΕΡΓΑΜΟΥ ΚΑΙ ΣΚΟΥΦΑ</t>
  </si>
  <si>
    <t>1ο ΝΗΠΙΑΓΩΓΕΙΟ ΜΕΛΙΣΣΙΩΝ</t>
  </si>
  <si>
    <t>mail@1nip-meliss.att.sch.gr</t>
  </si>
  <si>
    <t>Δ.ΠΛΑΚΕΝΤΙΑΣ 9</t>
  </si>
  <si>
    <t>7ο ΝΗΠΙΑΓΩΓΕΙΟ ΜΕΤΑΜΟΡΦΩΣΗΣ</t>
  </si>
  <si>
    <t>mail@7nip-metam.att.sch.gr</t>
  </si>
  <si>
    <t>ΙΕΡΟΥ ΛΟΧΟΥ 11</t>
  </si>
  <si>
    <t>10ο ΝΗΠΙΑΓΩΓΕΙΟ ΗΡΑΚΛΕΙΟΥ</t>
  </si>
  <si>
    <t>mail@10nip-irakl.att.sch.gr</t>
  </si>
  <si>
    <t>ΖΩΟΔΟΧΟΥ ΠΗΓΗΣ 11</t>
  </si>
  <si>
    <t>9ο ΝΗΠΙΑΓΩΓΕΙΟ ΝΕΑΣ ΙΩΝΙΑΣ</t>
  </si>
  <si>
    <t>mail@9nip-n-ionias.att.sch.gr</t>
  </si>
  <si>
    <t>ΒΥΖΑΝΤΙΝΩΝ ΑΥΤΟΚΡΑΤΟΡΩΝ ΚΑΙ ΚΙΡΚΙΝΗΣ</t>
  </si>
  <si>
    <t>14ο ΝΗΠΙΑΓΩΓΕΙΟ ΝΕΑΣ ΙΩΝΙΑΣ</t>
  </si>
  <si>
    <t>mail@14nip-n-ionias.att.sch.gr</t>
  </si>
  <si>
    <t>ΟΜΟΡΦΟΚΚΛΗΣΙΑΣ ΚΑΙ ΤΥΡΟΛΟΗΣ 2</t>
  </si>
  <si>
    <t>7ο ΔΗΜΟΤΙΚΟ ΣΧΟΛΕΙΟ ΜΕΤΑΜΟΡΦΩΣΗΣ</t>
  </si>
  <si>
    <t>mail@7dim-metam.att.sch.gr</t>
  </si>
  <si>
    <t>ΙΕΡΟΥ ΛΟΧΟΥ 9</t>
  </si>
  <si>
    <t>1ο ΠΕΙΡΑΜΑΤΙΚΟ ΔΗΜΟΤΙΚΟ ΣΧΟΛΕΙΟ ΧΑΛΑΝΔΡΙΟΥ</t>
  </si>
  <si>
    <t>mail@1dim-chalandr.att.sch.gr</t>
  </si>
  <si>
    <t>ΑΡΙΣΤΟΦΑΝΟΥΣ  42</t>
  </si>
  <si>
    <t>7ο ΔΗΜΟΤΙΚΟ ΣΧΟΛΕΙΟ ΚΗΦΙΣΙΑΣ "ΟΔΥΣΣΕΑΣ ΕΛΥΤΗΣ"</t>
  </si>
  <si>
    <t>mail@7dim-kifis.att.sch.gr</t>
  </si>
  <si>
    <t>ΠΛΑΤΕΙΑ ΠΟΛΙΤΕΙΑΣ</t>
  </si>
  <si>
    <t>12ο ΔΗΜΟΤΙΚΟ ΣΧΟΛΕΙΟ ΗΡΑΚΛΕΙΟΥ ΑΤΤΙΚΗΣ</t>
  </si>
  <si>
    <t>mail@12dim-n-irakl.att.sch.gr</t>
  </si>
  <si>
    <t>1ο ΠΕΙΡΑΜΑΤΙΚΟ ΝΗΠΙΑΓΩΓΕΙΟ ΛΥΚΟΒΡΥΣΗΣ</t>
  </si>
  <si>
    <t>mail@1nip-lykovr.att.sch.gr</t>
  </si>
  <si>
    <t>ΕΡΑΣΜΟΥ ΚΑΙ ΠΤΟΛΕΜΑΙΟΥ</t>
  </si>
  <si>
    <t>4ο ΝΗΠΙΑΓΩΓΕΙΟ ΝΕΑΣ ΙΩΝΙΑΣ</t>
  </si>
  <si>
    <t>mail@4nip-n-ionias.att.sch.gr</t>
  </si>
  <si>
    <t>ΙΚΟΝΙΟΥ 12</t>
  </si>
  <si>
    <t>8ο ΝΗΠΙΑΓΩΓΕΙΟ ΜΕΤΑΜΟΡΦΩΣΗΣ</t>
  </si>
  <si>
    <t>mail@8nip-metam.att.sch.gr</t>
  </si>
  <si>
    <t>ΔΗΜΗΤΣΑΝΗΣ 1</t>
  </si>
  <si>
    <t>4ο ΔΗΜΟΤΙΚΟ ΣΧΟΛΕΙΟ ΠΕΥΚΗΣ</t>
  </si>
  <si>
    <t>mail@4dim-pefkis.att.sch.gr</t>
  </si>
  <si>
    <t>ΒΡΥΟΥΛΩΝ 27</t>
  </si>
  <si>
    <t>2ο ΔΗΜΟΤΙΚΟ ΣΧΟΛΕΙΟ ΗΡΑΚΛΕΙΟΥ ΑΤΤΙΚΗΣ</t>
  </si>
  <si>
    <t>2dimnirakl@sch.gr</t>
  </si>
  <si>
    <t>ΕΥΤΥΧΙΑΣ 2 &amp; ΧΡΥΣΑΝΘΕΜΩΝ</t>
  </si>
  <si>
    <t>3ο ΔΗΜΟΤΙΚΟ ΣΧΟΛΕΙΟ ΗΡΑΚΛΕΙΟΥ ΑΤΤΙΚΗΣ</t>
  </si>
  <si>
    <t>mail@3dim-n-irakl.att.sch.gr</t>
  </si>
  <si>
    <t>Ηράκλειο</t>
  </si>
  <si>
    <t>Ευριπίδου 9</t>
  </si>
  <si>
    <t>ΔΗΜΟΤΙΚΟ ΣΧΟΛΕΙΟ ΕΚΑΛΗΣ</t>
  </si>
  <si>
    <t>mail@dim-ekalis.att.sch.gr</t>
  </si>
  <si>
    <t>ΔΕΚΕΛΕΙΑΣ ΚΑΙ ΦΑΣΙΔΕΡΗ</t>
  </si>
  <si>
    <t>7ο ΔΗΜΟΤΙΚΟ ΣΧΟΛΕΙΟ ΗΡΑΚΛΕΙΟΥ ΑΤΤΙΚΗΣ</t>
  </si>
  <si>
    <t>mail@7dim-irakl.att.sch.gr</t>
  </si>
  <si>
    <t xml:space="preserve">ΗΡΑΚΛΕΙΟ </t>
  </si>
  <si>
    <t>ΚΑΖΑΝΤΖΑΚΗ 21</t>
  </si>
  <si>
    <t>4ο ΔΗΜΟΤΙΚΟ ΣΧΟΛΕΙΟ ΝΕΟΥ ΗΡΑΚΛΕΙΟΥ</t>
  </si>
  <si>
    <t>mail@4dim-n-irakl.att.sch.gr</t>
  </si>
  <si>
    <t>ΝΕΟ ΗΡΑΚΛΕΙΟ</t>
  </si>
  <si>
    <t>ΑΛΩΝΙΩΝ ΚΑΙ ΙΑΚΩΒΙΔΟΥ</t>
  </si>
  <si>
    <t>1ο  ΔΗΜΟΤΙΚΟ ΣΧΟΛΕΙΟ  ΗΡΑΚΛΕΙΟΥ ΑΤΤΙΚΗΣ</t>
  </si>
  <si>
    <t>mail@1dim-n-irakl.att.sch.gr</t>
  </si>
  <si>
    <t>ΣΟΦΙΑΣ ΚΑΙ ΝΕΟΤΗΤΟΣ</t>
  </si>
  <si>
    <t>2ο ΔΗΜΟΤΙΚΟ ΣΧΟΛΕΙΟ ΛΥΚΟΒΡΥΣΗΣ</t>
  </si>
  <si>
    <t>mail@2dim-lykovr.att.sch.gr</t>
  </si>
  <si>
    <t>ΑΓΙΑΣ ΛΑΥΡΑΣ ΚΑΙ ΡΙΜΙΝΙ</t>
  </si>
  <si>
    <t>2ο ΔΗΜΟΤΙΚΟ ΣΧΟΛΕΙΟ ΜΕΤΑΜΟΡΦΩΣΗΣ</t>
  </si>
  <si>
    <t>mail@2dim-metam.att.sch.gr</t>
  </si>
  <si>
    <t>Δ.ΣΟΛΩΜΟΥ -ΑΓ. ΒΑΡΒΑΡΑΣ 1</t>
  </si>
  <si>
    <t>3ο ΔΗΜΟΤΙΚΟ ΣΧΟΛΕΙΟ ΜΕΤΑΜΟΡΦΩΣΗΣ</t>
  </si>
  <si>
    <t>mail@3dim-metam.att.sch.gr</t>
  </si>
  <si>
    <t>ΚΟΖΑΝΗΣ 16</t>
  </si>
  <si>
    <t>5ο  ΔΗΜΟΤΙΚΟ ΣΧΟΛΕΙΟ ΜΕΤΑΜΟΡΦΩΣΗΣ</t>
  </si>
  <si>
    <t>mail@5dim-metam.att.sch.gr</t>
  </si>
  <si>
    <t>ΑΔΡΙΑΝΕΙΟΥ 11</t>
  </si>
  <si>
    <t>3ο ΠΕΙΡΑΜΑΤΙΚΟ ΔΗΜΟΤΙΚΟ ΣΧΟΛΕΙΟ ΝΕΑΣ ΙΩΝΙΑΣ</t>
  </si>
  <si>
    <t>mail@3dim-n-ionias.att.sch.gr</t>
  </si>
  <si>
    <t>ΡΗΓΑ ΦΕΡΑΙΟΥ 5</t>
  </si>
  <si>
    <t>4ο ΔΗΜΟΤΙΚΟ ΣΧΟΛΕΙΟ ΜΕΛΙΣΣΙΩΝ</t>
  </si>
  <si>
    <t>mail@4dim-meliss.att.sch.gr</t>
  </si>
  <si>
    <t>15ο ΔΗΜΟΤΙΚΟ ΣΧΟΛΕΙΟ ΝΕΑΣ ΙΩΝΙΑΣ</t>
  </si>
  <si>
    <t>mail@15dim-n-ionias.att.sch.gr</t>
  </si>
  <si>
    <t>ΦΕΡΤΕΚΙΟΥ  1</t>
  </si>
  <si>
    <t>16ο ΔΗΜΟΤΙΚΟ ΣΧΟΛΕΙΟ ΝΕΑΣ ΙΩΝΙΑΣ.</t>
  </si>
  <si>
    <t>mail@16dim-n-ionias.att.sch.gr</t>
  </si>
  <si>
    <t>ΜΕΣΣΗΝΙΑΣ 15</t>
  </si>
  <si>
    <t>2ο ΔΗΜΟΤΙΚΟ ΣΧΟΛΕΙΟ ΚΗΦΙΣΙΑΣ - ΚΩΣΤΗΣ ΠΑΛΑΜΑΣ</t>
  </si>
  <si>
    <t>mail@2dim-kifis.att.sch.gr</t>
  </si>
  <si>
    <t>Λ. ΚΗΦΙΣΙΑΣ 282</t>
  </si>
  <si>
    <t>ΠΕΙΡΑΜΑΤΙΚΟ ΔΗΜΟΤΙΚΟ ΣΧΟΛΕΙΟ ΔΙΑΠΟΛΙΤΙΣΜΙΚΗΣ ΕΚΠΑΙΔΕΥΣΗΣ ΑΛΣΟΥΠΟΛΗΣ</t>
  </si>
  <si>
    <t>mail@dim-diap-n-ionias.att.sch.gr</t>
  </si>
  <si>
    <t>ΕΛΕΥΘΕΡΙΑΣ 18</t>
  </si>
  <si>
    <t>11ο ΔΗΜΟΤΙΚΟ ΣΧΟΛΕΙΟ ΑΓΙΑΣ ΠΑΡΑΣΚΕΥΗΣ</t>
  </si>
  <si>
    <t>mail@11dim-ag-parask.att.sch.gr</t>
  </si>
  <si>
    <t>6ο ΔΗΜΟΤΙΚΟ ΣΧΟΛΕΙΟ ΧΟΛΑΡΓΟΥ - "ΣΤΑΥΡΟΣ ΞΑΡΧΑΚΟΣ"</t>
  </si>
  <si>
    <t>mail@6dim-cholarg.att.sch.gr</t>
  </si>
  <si>
    <t>4ο ΔΗΜΟΤΙΚΟ ΣΧΟΛΕΙΟ ΧΟΛΑΡΓΟΥ</t>
  </si>
  <si>
    <t>mail@4dim-cholarg.att.sch.gr</t>
  </si>
  <si>
    <t>Χολαργός</t>
  </si>
  <si>
    <t>Τήνου 4</t>
  </si>
  <si>
    <t>1ο ΔΗΜΟΤΙΚΟ ΣΧΟΛΕΙΟ ΧΟΛΑΡΓΟΥ</t>
  </si>
  <si>
    <t>mail@1dim-cholarg.att.sch.gr</t>
  </si>
  <si>
    <t>ΠΕΡΙΚΛΕΟΥΣ 53</t>
  </si>
  <si>
    <t>3ο ΔΗΜΟΤΙΚΟ ΣΧΟΛΕΙΟ ΑΓΙΑΣ ΠΑΡΑΣΚΕΥΗΣ</t>
  </si>
  <si>
    <t>mail@3dim-ag-parask.att.sch.gr</t>
  </si>
  <si>
    <t>ΜΠΟΥΜΠΟΥΛΙΝΑΣ 4</t>
  </si>
  <si>
    <t>4ο  ΔΗΜΟΤΙΚΟ ΣΧΟΛΕΙΟ ΑΓΙΑΣ ΠΑΡΑΣΚΕΥΗΣ</t>
  </si>
  <si>
    <t>mail@4dim-ag-parask.att.sch.gr</t>
  </si>
  <si>
    <t>Αγία Παρασκευή</t>
  </si>
  <si>
    <t>Χίου &amp; Τσιμισκή</t>
  </si>
  <si>
    <t>6ο ΔΗΜΟΤΙΚΟ ΣΧΟΛΕΙΟ ΑΓΙΑΣ ΠΑΡΑΣΚΕΥΗΣ</t>
  </si>
  <si>
    <t>mail@6dim-ag-parask.att.sch.gr</t>
  </si>
  <si>
    <t>ΧΕΙΜΑΡΡΑΣ 9</t>
  </si>
  <si>
    <t>3ο ΔΗΜΟΤΙΚΟ ΣΧΟΛΕΙΟ ΚΗΦΙΣΙΑΣ</t>
  </si>
  <si>
    <t>mail@3dim-kifis.att.sch.gr</t>
  </si>
  <si>
    <t>ΠΗΓΩΝ 4</t>
  </si>
  <si>
    <t>5ο ΝΗΠΙΑΓΩΓΕΙΟ ΜΕΤΑΜΟΡΦΩΣΗΣ</t>
  </si>
  <si>
    <t>mail@5nip-metam.att.sch.gr</t>
  </si>
  <si>
    <t>ΦΙΛΙΠΠΟΥ 7</t>
  </si>
  <si>
    <t>6ο ΝΗΠΙΑΓΩΓΕΙΟ ΗΡΑΚΛΕΙΟΥ ΑΤΤΙΚΗΣ</t>
  </si>
  <si>
    <t>6nipirakl@sch.gr</t>
  </si>
  <si>
    <t xml:space="preserve"> ΗΡΑΚΛΕΙΟΥ ΑΤΤΙΚΗΣ</t>
  </si>
  <si>
    <t>ΙΩΑΝΝΙΝΩΝ 34</t>
  </si>
  <si>
    <t>1ο ΔΗΜΟΤΙΚΟ ΣΧΟΛΕΙΟ ΜΕΤΑΜΟΡΦΩΣΗΣ</t>
  </si>
  <si>
    <t>mail@1dim-metam.att.sch.gr</t>
  </si>
  <si>
    <t>ΚΟΡΑΗ 9</t>
  </si>
  <si>
    <t>1ο ΔΗΜΟΤΙΚΟ ΣΧΟΛΕΙΟ ΛΥΚΟΒΡΥΣΗΣ</t>
  </si>
  <si>
    <t>mail@1dim-lykovr.att.sch.gr</t>
  </si>
  <si>
    <t>ΑΓΙΑΣ ΒΑΡΒΑΡΑΣ 28</t>
  </si>
  <si>
    <t>4ο ΔΗΜΟΤΙΚΟ ΣΧΟΛΕΙΟ ΝΕΑΣ ΙΩΝΙΑΣ</t>
  </si>
  <si>
    <t>mail@4dim-n-ionias.att.sch.gr</t>
  </si>
  <si>
    <t>ΠΑΤΡΙΑΡΧΟΥ  ΙΩΑΚΕΙΜ 2</t>
  </si>
  <si>
    <t>5ο ΔΗΜΟΤΙΚΟ ΣΧΟΛΕΙΟ ΗΡΑΚΛΕΙΟΥ ΑΤΤΙΚΗΣ</t>
  </si>
  <si>
    <t>mail@5dim-n-irakl.att.sch.gr</t>
  </si>
  <si>
    <t>ΑΝΑΓΕΝΝΗΣΕΩΣ  22</t>
  </si>
  <si>
    <t>6ο ΔΗΜΟΤΙΚΟ ΣΧΟΛΕΙΟ ΜΕΤΑΜΟΡΦΩΣΗΣ</t>
  </si>
  <si>
    <t>mail@6dim-metam.att.sch.gr</t>
  </si>
  <si>
    <t>ΠΑΡΝΗΘΟΣ 20</t>
  </si>
  <si>
    <t>6ο ΔΗΜΟΤΙΚΟ ΣΧΟΛΕΙΟ ΗΡΑΚΛΕΙΟΥ ΑΤΤΙΚΗΣ</t>
  </si>
  <si>
    <t>mail@6dim-irakl.att.sch.gr</t>
  </si>
  <si>
    <t>ΠΕΝΤΕΛΗΣ 10</t>
  </si>
  <si>
    <t>6ο ΔΗΜΟΤΙΚΟ ΣΧΟΛΕΙΟ ΝΕΑΣ ΙΩΝΙΑΣ</t>
  </si>
  <si>
    <t>mail@6dim-n-ionias.att.sch.gr</t>
  </si>
  <si>
    <t>ΠΛΑΤΕΙΑ ΤΥΑΝΩΝ 1</t>
  </si>
  <si>
    <t>9ο ΝΗΠΙΑΓΩΓΕΙΟ ΜΕΤΑΜΟΡΦΩΣΗΣ</t>
  </si>
  <si>
    <t>mail@9nip-metam.att.sch.gr</t>
  </si>
  <si>
    <t>ΒΑΛΑΩΡΙΤΟΥ 4</t>
  </si>
  <si>
    <t>3ο ΔΗΜΟΤΙΚΟ ΣΧΟΛΕΙΟ ΛΥΚΟΒΡΥΣΗ ΑΤΤΙΚΗΣ</t>
  </si>
  <si>
    <t>mail@3dim-lykovr.att.sch.gr</t>
  </si>
  <si>
    <t>ΛΥΚΟΒΡΥΣΗ ΑΤΤΙΚΗΣ</t>
  </si>
  <si>
    <t>ΗΛΙΟΥ 2 ΚΑΙ ΕΡΑΣΜΟΥ ΗΛΙΑΚΟ ΧΩΡΙΟ</t>
  </si>
  <si>
    <t>4ο ΝΗΠΙΑΓΩΓΕΙΟ ΛΥΚΟΒΡΥΣΗΣ</t>
  </si>
  <si>
    <t>mail@4nip-lykovr.att.sch.gr</t>
  </si>
  <si>
    <t>ΞΑΝΘΗΣ ΚΑΙ ΜΠΕΝΙΣΗ 17</t>
  </si>
  <si>
    <t>12ο  ΝΗΠΙΑΓΩΓΕΙΟ ΝΕΑΣ ΙΩΝΙΑΣ</t>
  </si>
  <si>
    <t>mail@12nip-n-ionias.att.sch.gr</t>
  </si>
  <si>
    <t>ΜΕΤΡΩΝ ΚΑΙ ΚΙΛΚΙΣ 1</t>
  </si>
  <si>
    <t>16ο ΝΗΠΙΑΓΩΓΕΙΟ ΝΕΑΣ ΙΩΝΙΑΣ</t>
  </si>
  <si>
    <t>mail@16nip-n-ionias.att.sch.gr</t>
  </si>
  <si>
    <t>ΑΛΣΟΥΠΟΛΕΩΣ 42</t>
  </si>
  <si>
    <t>23ο ΝΗΠΙΑΓΩΓΕΙΟ ΝΕΑΣ ΙΩΝΙΑΣ</t>
  </si>
  <si>
    <t>mail@23nip-n-ionias.att.sch.gr</t>
  </si>
  <si>
    <t>ΑΝΤΙΓΟΝΗΣ 1 ΚΑΙ ΙΣΜΗΝΗΣ</t>
  </si>
  <si>
    <t>8ο ΔΗΜΟΤΙΚΟ ΣΧΟΛΕΙΟ ΝΕΑΣ ΙΩΝΙΑΣ</t>
  </si>
  <si>
    <t>mail@8dim-n-ionias.att.sch.gr</t>
  </si>
  <si>
    <t>ΜΙΛΗΤΟΥ 2</t>
  </si>
  <si>
    <t>9ο ΔΗΜΟΤΙΚΟ ΣΧΟΛΕΙΟ ΝΕΑΣ ΙΩΝΙΑΣ</t>
  </si>
  <si>
    <t>mail@9dim-n-ionias.att.sch.gr</t>
  </si>
  <si>
    <t>ΜΟΥΤΑΛΑΣΚΗ 68</t>
  </si>
  <si>
    <t>10ο ΔΗΜΟΤΙΚΟ ΣΧΟΛΕΙΟ ΝΕΑΣ ΙΩΝΙΑΣ</t>
  </si>
  <si>
    <t>mail@10dim-n-ionias.att.sch.gr</t>
  </si>
  <si>
    <t>ΤΗΝΟΥ  21- ΑΛΣΟΥΠΟΛΗ</t>
  </si>
  <si>
    <t>11ο ΔΗΜΟΤΙΚΟ ΣΧΟΛΕΙΟ ΝΕΑΣ ΙΩΝΙΑΣ</t>
  </si>
  <si>
    <t>mail@11dim-n-ionias.att.sch.gr</t>
  </si>
  <si>
    <t>16ο ΔΗΜΟΤΙΚΟ ΣΧΟΛΕΙΟ ΧΑΛΑΝΔΡΙΟΥ</t>
  </si>
  <si>
    <t>mail@16dim-chalandr.att.sch.gr</t>
  </si>
  <si>
    <t>Γ. ΠΑΠΑΝΙΚΟΛΑΟΥ 2</t>
  </si>
  <si>
    <t>ΝΗΠΙΑΓΩΓΕΙΟ ΦΙΛΟΘΕΗΣ</t>
  </si>
  <si>
    <t>mail@nip-filoth.att.sch.gr</t>
  </si>
  <si>
    <t>ΦΙΛΟΘΕΗΣ</t>
  </si>
  <si>
    <t>ΖΩΣΙΜΑ 3</t>
  </si>
  <si>
    <t>2ο ΝΗΠΙΑΓΩΓΕΙΟ ΠΕΝΤΕΛΗΣ</t>
  </si>
  <si>
    <t>mail@2nip-pentel.att.sch.gr</t>
  </si>
  <si>
    <t>Αθηνάς 2 και Ιάσονος</t>
  </si>
  <si>
    <t>2ο ΔΗΜΟΤΙΚΟ ΣΧΟΛΕΙΟ ΠΕΝΤΕΛΗΣ</t>
  </si>
  <si>
    <t>mail@2dim-pentel.att.sch.gr</t>
  </si>
  <si>
    <t>ΚΑΛΛΙΘΕΑ ΠΕΝΤΕΛΗΣ</t>
  </si>
  <si>
    <t>ΗΡΑΣ 4 ΚΑΙ ΙΑΣΟΝΟΣ</t>
  </si>
  <si>
    <t>16ο ΝΗΠΙΑΓΩΓΕΙΟ ΧΑΛΑΝΔΡΙΟΥ</t>
  </si>
  <si>
    <t>mail@16nip-chalandr.att.sch.gr</t>
  </si>
  <si>
    <t>ΠΑΠΑΝΙΚΟΛΑΟΥ 2</t>
  </si>
  <si>
    <t>7ο ΝΗΠΙΑΓΩΓΕΙΟ ΒΡΙΛΗΣΣΙΩΝ</t>
  </si>
  <si>
    <t>mail@7nip-vriliss.att.sch.gr</t>
  </si>
  <si>
    <t>ΠΑΣΧΑΛΙΔΗ 1</t>
  </si>
  <si>
    <t>14ο ΝΗΠΙΑΓΩΓΕΙΟ ΑΓΙΑΣ ΠΑΡΑΣΚΕΥΗΣ</t>
  </si>
  <si>
    <t>mail@14nip-ag-parask.att.sch.gr</t>
  </si>
  <si>
    <t>ΑΓΙΟΥ ΒΑΣΙΛΕΙΟΥ ΚΑΙ ΚΑΔΜΟΥ</t>
  </si>
  <si>
    <t>3ο ΝΗΠΙΑΓΩΓΕΙΟ ΝΕΑΣ ΕΡΥΘΡΑΙΑΣ</t>
  </si>
  <si>
    <t>mail@3nip-n-erythr.att.sch.gr</t>
  </si>
  <si>
    <t>ΠΑΝΟΡΜΟΥ 3</t>
  </si>
  <si>
    <t>6ο  ΝΗΠΙΑΓΩΓΕΙΟ ΧΟΛΑΡΓΟΥ</t>
  </si>
  <si>
    <t>mail@6nip-cholarg.att.sch.gr</t>
  </si>
  <si>
    <t>Περικλέους 53</t>
  </si>
  <si>
    <t>Π.Ε. Γ΄ ΑΘΗΝΑΣ</t>
  </si>
  <si>
    <t>3ο ΝΗΠΙΑΓΩΓΕΙΟ ΠΕΡΙΣΤΕΡΙΟΥ</t>
  </si>
  <si>
    <t>mail@3nip-perist.att.sch.gr</t>
  </si>
  <si>
    <t>ΠΕΡΙΣΤΕΡΙΟΥ</t>
  </si>
  <si>
    <t>ΠΕΡΙΣΤΕΡΙ</t>
  </si>
  <si>
    <t>ΘΑΛΗ 73</t>
  </si>
  <si>
    <t>5ο ΔΗΜΟΤΙΚΟ ΣΧΟΛΕΙΟ ΠΕΤΡΟΥΠΟΛΗΣ</t>
  </si>
  <si>
    <t>mail@5dim-petroup.att.sch.gr</t>
  </si>
  <si>
    <t>ΠΕΤΡΟΥΠΟΛΕΩΣ</t>
  </si>
  <si>
    <t>ΠΕΤΡΟΥΠΟΛΗ</t>
  </si>
  <si>
    <t>ΚΕΡΑΣΟΒΟΥ ΚΑΙ ΑΓΙΟΥ ΠΟΛΥΚΑΡΠΟΥ</t>
  </si>
  <si>
    <t>34ο ΝΗΠΙΑΓΩΓΕΙΟ ΠΕΡΙΣΤΕΡΙΟΥ</t>
  </si>
  <si>
    <t>mail@34nip-perist.att.sch.gr</t>
  </si>
  <si>
    <t>ΤΕΛΑΜΩΝΟΣ 26</t>
  </si>
  <si>
    <t>47ο ΝΗΠΙΑΓΩΓΕΙΟ ΠΕΡΙΣΤΕΡΙΟΥ</t>
  </si>
  <si>
    <t>mail@47nip-perist.att.sch.gr</t>
  </si>
  <si>
    <t>ΠΕΛΟΠΙΔΑ 177</t>
  </si>
  <si>
    <t>35ο ΝΗΠΙΑΓΩΓΕΙΟ ΠΕΡΙΣΤΕΡΙΟΥ</t>
  </si>
  <si>
    <t>mail@35nip-perist.att.sch.gr</t>
  </si>
  <si>
    <t>ΕΘΝΙΚΗΣ ΑΝΤΙΣΤΑΣΕΩΣ &amp; ΚΑΣΤΟΡΙΑΣ 1</t>
  </si>
  <si>
    <t>32ο ΝΗΠΙΑΓΩΓΕΙΟ ΠΕΡΙΣΤΕΡΙΟΥ</t>
  </si>
  <si>
    <t>mail@32nip-perist.att.sch.gr</t>
  </si>
  <si>
    <t>ΠΕΥΚΩΝ ΚΑΙ ΚΑΚΤΟΥ</t>
  </si>
  <si>
    <t>31ο ΝΗΠΙΑΓΩΓΕΙΟ ΠΕΡΙΣΤΕΡΙΟΥ</t>
  </si>
  <si>
    <t>mail@31nip-perist.att.sch.gr</t>
  </si>
  <si>
    <t>ΦΙΛΙΚΩΝ 8</t>
  </si>
  <si>
    <t>39ο ΝΗΠΙΑΓΩΓΕΙΟ ΠΕΡΙΣΤΕΡΙΟΥ</t>
  </si>
  <si>
    <t>mail@39nip-perist.att.sch.gr</t>
  </si>
  <si>
    <t>ΛΥΣΙΜΑΧΟΥ ΚΑΙ ΔΡΑΓΟΥΜΗ 56</t>
  </si>
  <si>
    <t>5ο ΔΗΜΟΤΙΚΟ ΣΧΟΛΕΙΟ ΑΓΙΩΝ ΑΝΑΡΓΥΡΩΝ</t>
  </si>
  <si>
    <t>mail@5dim-ag-anarg.att.sch.gr</t>
  </si>
  <si>
    <t>ΑΓΙΩΝ ΑΝΑΡΓΥΡΩΝ - ΚΑΜΑΤΕΡΟΥ</t>
  </si>
  <si>
    <t>ΑΓΙΟΙ ΑΝΑΡΓΥΡΟΙ</t>
  </si>
  <si>
    <t>ΠΑΡΝΗΘΟΣ 1</t>
  </si>
  <si>
    <t>11ο ΝΗΠΙΑΓΩΓΕΙΟ ΑΓΙΑΣ ΒΑΡΒΑΡΑΣ</t>
  </si>
  <si>
    <t>mail@11nip-ag-varvar.att.sch.gr</t>
  </si>
  <si>
    <t>ΑΓΙΑΣ ΒΑΡΒΑΡΑΣ</t>
  </si>
  <si>
    <t>ΑΓΙΑ ΒΑΡΒΑΡΑ</t>
  </si>
  <si>
    <t>ΚΑΡΑΟΛΗ ΚΑΙ ΛΥΚΟΥΡΓΟΥ 9</t>
  </si>
  <si>
    <t>5ο ΝΗΠΙΑΓΩΓΕΙΟ ΑΓΙΑΣ ΒΑΡΒΑΡΑΣ</t>
  </si>
  <si>
    <t>mail@5nip-ag-varvar.att.sch.gr</t>
  </si>
  <si>
    <t>ΠΕΛΟΠΟΝΝΗΣΟΥ 13</t>
  </si>
  <si>
    <t>4ο ΝΗΠΙΑΓΩΓΕΙΟ ΠΕΡΙΣΤΕΡΙΟΥ</t>
  </si>
  <si>
    <t>mail@4nip-perist.att.sch.gr</t>
  </si>
  <si>
    <t>ΜΕΣΣΗΝΙΑΣ ΚΑΙ ΕΛΕΥΘΕΡΙΑΣ 6</t>
  </si>
  <si>
    <t>26ο ΝΗΠΙΑΓΩΓΕΙΟ ΠΕΡΙΣΤΕΡΙΟΥ</t>
  </si>
  <si>
    <t>mail@26nip-perist.att.sch.gr</t>
  </si>
  <si>
    <t>ΤΑΤΑΚΗ 1</t>
  </si>
  <si>
    <t>16ο ΝΗΠΙΑΓΩΓΕΙΟ ΠΕΡΙΣΤΕΡΙΟΥ</t>
  </si>
  <si>
    <t>mail@16nip-perist.att.sch.gr</t>
  </si>
  <si>
    <t>ΠΥΡΓΙΩΤΙΣΣΗΣ ΚΑΙ ΛΥΚΟΣΟΥΡΑΣ</t>
  </si>
  <si>
    <t>5ο ΔΗΜΟΤΙΚΟ ΣΧΟΛΕΙΟ ΧΑΪΔΑΡΙΟΥ- ΟΔΥΣΣΕΑΣ ΕΛΥΤΗΣ</t>
  </si>
  <si>
    <t>mail@5dim-chaid.att.sch.gr</t>
  </si>
  <si>
    <t>ΧΑΪΔΑΡΙΟΥ</t>
  </si>
  <si>
    <t>Χαϊδάρι</t>
  </si>
  <si>
    <t>ΠΑΡΝΗΘΟΣ &amp; ΔΟΞΗΣ</t>
  </si>
  <si>
    <t>2ο ΔΗΜΟΤΙΚΟ ΣΧΟΛΕΙΟ ΑΓΙΩΝ ΑΝΑΡΓΥΡΩΝ</t>
  </si>
  <si>
    <t>mail@2dim-ag-anarg.att.sch.gr</t>
  </si>
  <si>
    <t>ΑΛΕΞΙΟΥ ΔΙΑΚΟΥ 58</t>
  </si>
  <si>
    <t>10ο ΝΗΠΙΑΓΩΓΕΙΟ ΑΓΙΑΣ ΒΑΡΒΑΡΑΣ</t>
  </si>
  <si>
    <t>mail@10nip-ag-varvar.att.sch.gr</t>
  </si>
  <si>
    <t>ΠΑΠΑΔΙΑΜΑΝΤΗ ΚΑΙ ΔΕΛΗΓΙΑΝΝΗ</t>
  </si>
  <si>
    <t>8ο ΔΗΜΟΤΙΚΟ ΣΧΟΛΕΙΟ ΧΑΪΔΑΡΙΟΥ</t>
  </si>
  <si>
    <t>mail@8dim-chaid.att.sch.gr</t>
  </si>
  <si>
    <t>ΧΑΪΔΑΡΙ</t>
  </si>
  <si>
    <t>ΗΡΩΩΝ ΠΟΛΥΤΕΧΝΕΙΟΥ ΚΑΙ ΑΘΑΝΑΣΙΟΥ ΔΙΑΚΟΥ</t>
  </si>
  <si>
    <t>1ο ΝΗΠΙΑΓΩΓΕΙΟ ΑΙΓΑΛΕΩ</t>
  </si>
  <si>
    <t>mail@1nip-aigal.att.sch.gr</t>
  </si>
  <si>
    <t>ΑΙΓΑΛΕΩ</t>
  </si>
  <si>
    <t>ΣΜΥΡΝΗΣ 58 ΚΑΙ ΜΑΓΝΗΣΙΑΣ</t>
  </si>
  <si>
    <t>3ο ΝΗΠΙΑΓΩΓΕΙΟ ΑΓΙΑΣ ΒΑΡΒΑΡΑΣ</t>
  </si>
  <si>
    <t>mail@3nip-ag-varvar.att.sch.gr</t>
  </si>
  <si>
    <t>ΠΡΟΒΕΛΕΓΓΙΟΥ 14</t>
  </si>
  <si>
    <t>2ο ΝΗΠΙΑΓΩΓΕΙΟ ΙΛΙΟΥ</t>
  </si>
  <si>
    <t>mail@2nip-iliou.att.sch.gr</t>
  </si>
  <si>
    <t>ΙΛΙΟΥ (ΝΕΩΝ ΛΙΟΣΙΩΝ)</t>
  </si>
  <si>
    <t>ΙΛΙΟΥ</t>
  </si>
  <si>
    <t>ΕΥΑΓΓΕΛΙΣΤΡΙΑΣ 36</t>
  </si>
  <si>
    <t>8ο ΔΗΜΟΤΙΚΟ ΣΧΟΛΕΙΟ ΑΙΓΑΛΕΩ "ΚΩΣΤΑΣ ΚΡΥΣΤΑΛΛΗΣ"</t>
  </si>
  <si>
    <t>mail@8dim-aigal.att.sch.gr</t>
  </si>
  <si>
    <t>ΘΗΒΩΝ ΚΑΙ ΚΟΥΝΤΟΥΡΙΩΤΗ 14</t>
  </si>
  <si>
    <t>4ο ΝΗΠΙΑΓΩΓΕΙΟ ΑΙΓΑΛΕΩ</t>
  </si>
  <si>
    <t>mail@4nip-aigal.att.sch.gr</t>
  </si>
  <si>
    <t>ΒΕΛΕΣΤΙΝΟΥ 28</t>
  </si>
  <si>
    <t>11ο ΝΗΠΙΑΓΩΓΕΙΟ ΑΙΓΑΛΕΩ</t>
  </si>
  <si>
    <t>mail@11nip-aigal.att.sch.gr</t>
  </si>
  <si>
    <t>ΖΗΝΩΝΟΣ ΚΑΙ ΠΡΟΜΗΘΕΩΣ 1</t>
  </si>
  <si>
    <t>12ο ΝΗΠΙΑΓΩΓΕΙΟ ΑΓΙΑΣ ΒΑΡΒΑΡΑΣ</t>
  </si>
  <si>
    <t>mail@12nip-ag-varvar.att.sch.gr</t>
  </si>
  <si>
    <t>ΛΗΜΝΟΥ ΚΑΙ ΜΑΚΑΡΙΟΥ</t>
  </si>
  <si>
    <t>3ο ΝΗΠΙΑΓΩΓΕΙΟ ΙΛΙΟΥ</t>
  </si>
  <si>
    <t>mail@3nip-iliou.att.sch.gr</t>
  </si>
  <si>
    <t>ΠΑΛΑΤΙΑΝΗΣ 24</t>
  </si>
  <si>
    <t>12ο ΔΗΜΟΤΙΚΟ ΣΧΟΛΕΙΟ ΑΙΓΑΛΕΩ</t>
  </si>
  <si>
    <t>mail@12dim-aigal.att.sch.gr</t>
  </si>
  <si>
    <t>ΟΡΥΖΟΜΥΛΩΝ 15</t>
  </si>
  <si>
    <t>14ο ΔΗΜΟΤΙΚΟ ΣΧΟΛΕΙΟ ΙΛΙΟΥ</t>
  </si>
  <si>
    <t>mail@14dim-iliou.att.sch.gr</t>
  </si>
  <si>
    <t>ΙΛΙΟΝ</t>
  </si>
  <si>
    <t>ΗΡΟΔΟΤΟΥ ΚΑΙ ΑΓΡΑΦΩΝ 47</t>
  </si>
  <si>
    <t>4ο ΝΗΠΙΑΓΩΓΕΙΟ ΙΛΙΟΥ</t>
  </si>
  <si>
    <t>mail@4nip-iliou.att.sch.gr</t>
  </si>
  <si>
    <t>ΠΟΛΥΤΕΚΝΩΝ 20</t>
  </si>
  <si>
    <t>17ο ΔΗΜΟΤΙΚΟ ΣΧΟΛΕΙΟ ΠΕΡΙΣΤΕΡΙΟΥ</t>
  </si>
  <si>
    <t>mail@17dim-perist.att.sch.gr</t>
  </si>
  <si>
    <t>ΠΕΥΚΩΝ  ΚΑΙ  ΚΑΚΤΟΥ</t>
  </si>
  <si>
    <t>1ο ΝΗΠΙΑΓΩΓΕΙΟ ΑΓΙΑΣ ΒΑΡΒΑΡΑΣ</t>
  </si>
  <si>
    <t>mail@1nip-ag-varvar.att.sch.gr</t>
  </si>
  <si>
    <t>ΚΑΛΑΒΡΥΤΩΝ  52</t>
  </si>
  <si>
    <t>5ο ΝΗΠΙΑΓΩΓΕΙΟ ΙΛΙΟΥ</t>
  </si>
  <si>
    <t>mail@5nip-iliou.att.sch.gr</t>
  </si>
  <si>
    <t>ΗΡΟΔΟΤΟΥ &amp; ΑΓΡΑΦΩΝ</t>
  </si>
  <si>
    <t>1ο ΔΗΜΟΤΙΚΟ ΣΧΟΛΕΙΟ ΧΑΪΔΑΡΙΟΥ</t>
  </si>
  <si>
    <t>mail@1dim-chaid.att.sch.gr</t>
  </si>
  <si>
    <t>ΗΡΩΩΝ ΠΟΛΥΤΕΧΝΕΙΟΥ 81</t>
  </si>
  <si>
    <t>14ο ΔΗΜΟΤΙΚΟ ΣΧΟΛΕΙΟ ΧΑΪΔΑΡΙΟΥ</t>
  </si>
  <si>
    <t>mail@14dim-chaid.att.sch.gr</t>
  </si>
  <si>
    <t>ΚΕΡΚΥΡΑΣ 8</t>
  </si>
  <si>
    <t>6ο ΝΗΠΙΑΓΩΓΕΙΟ ΙΛΙΟΥ</t>
  </si>
  <si>
    <t>mail@6nip-iliou.att.sch.gr</t>
  </si>
  <si>
    <t>ΑΛΒΑΝΙΚΟΥ ΕΠΟΥΣ  54</t>
  </si>
  <si>
    <t>10ο ΔΗΜΟΤΙΚΟ ΣΧΟΛΕΙΟ ΑΙΓΑΛΕΩ - Κ. ΒΑΡΝΑΛΗΣ</t>
  </si>
  <si>
    <t>mail@10dim-aigal.att.sch.gr</t>
  </si>
  <si>
    <t>ΘΗΒΩΝ 341</t>
  </si>
  <si>
    <t>4ο ΔΗΜΟΤΙΚΟ ΣΧΟΛΕΙΟ ΙΛΙΟΥ</t>
  </si>
  <si>
    <t>4dimiliou@sch.gr</t>
  </si>
  <si>
    <t>7ο ΔΗΜΟΤΙΚΟ ΣΧΟΛΕΙΟ ΑΓΙΑΣ ΒΑΡΒΑΡΑΣ</t>
  </si>
  <si>
    <t>mail@7dim-ag-varvar.att.sch.gr</t>
  </si>
  <si>
    <t>ΜΕΣΟΛΟΓΓΙΟΥ 32</t>
  </si>
  <si>
    <t>6ο ΝΗΠΙΑΓΩΓΕΙΟ ΠΕΤΡΟΥΠΟΛΗΣ</t>
  </si>
  <si>
    <t>mail@6nip-petroup.att.sch.gr</t>
  </si>
  <si>
    <t>ΠΕΤΡΟΥΠΟΛΗΣ</t>
  </si>
  <si>
    <t>ΑΓΙΑΣ ΤΡΙΑΔΟΣ 13-15  ΚΑΙ ΚΟΝΔΥΛΗ</t>
  </si>
  <si>
    <t>7ο ΝΗΠΙΑΓΩΓΕΙΟ ΙΛΙΟΥ</t>
  </si>
  <si>
    <t>mail@7nip-iliou.att.sch.gr</t>
  </si>
  <si>
    <t>ΜΠΟΥΜΠΟΥΛΙΝΑΣ 2</t>
  </si>
  <si>
    <t>7ο ΝΗΠΙΑΓΩΓΕΙΟ ΠΕΤΡΟΥΠΟΛΗΣ</t>
  </si>
  <si>
    <t>mail@7nip-petroup.att.sch.gr</t>
  </si>
  <si>
    <t>ΠΕΤΡΟΥΠΟΛΗ ΑΤΤΙΚΗΣ</t>
  </si>
  <si>
    <t>ΚΕΡΚΗΣ &amp; ΑΓΙΑΣ ΤΡΙΑΔΟΣ</t>
  </si>
  <si>
    <t>9ο ΔΗΜΟΤΙΚΟ ΣΧΟΛΕΙΟ ΠΕΤΡΟΥΠΟΛΗΣ - ΔΙΟΜΗΔΗΣ ΚΟΜΝΗΝΟΣ</t>
  </si>
  <si>
    <t>mail@9dim-petroup.att.sch.gr</t>
  </si>
  <si>
    <t>ΣΟΥΛΙΟΥ 141</t>
  </si>
  <si>
    <t>8ο ΝΗΠΙΑΓΩΓΕΙΟ ΙΛΙΟΥ</t>
  </si>
  <si>
    <t>mail@8nip-iliou.att.sch.gr</t>
  </si>
  <si>
    <t>ΠΡΕΒΕΖΗΣ ΚΑΙ ΤΡΙΚΑΛΩΝ 37</t>
  </si>
  <si>
    <t>8ο ΝΗΠΙΑΓΩΓΕΙΟ ΠΕΤΡΟΥΠΟΛΗΣ</t>
  </si>
  <si>
    <t>mail@8nip-petroup.att.sch.gr</t>
  </si>
  <si>
    <t>Μακρυγιάννη 74 και Ξάνθου</t>
  </si>
  <si>
    <t>9ο ΝΗΠΙΑΓΩΓΕΙΟ ΠΕΤΡΟΥΠΟΛΗΣ</t>
  </si>
  <si>
    <t>mail@9nip-petroup.att.sch.gr</t>
  </si>
  <si>
    <t>ΑΓΙΟΥ ΙΩΑΝΝΟΥ 43</t>
  </si>
  <si>
    <t>10ο ΝΗΠΙΑΓΩΓΕΙΟ ΙΛΙΟΥ</t>
  </si>
  <si>
    <t>mail@10nip-iliou.att.sch.gr</t>
  </si>
  <si>
    <t>ΗΡΑΚΛΕΙΟΥ ΚΑΙ ΜΕΛΕΤΗ 8</t>
  </si>
  <si>
    <t>11ο ΝΗΠΙΑΓΩΓΕΙΟ ΙΛΙΟΥ</t>
  </si>
  <si>
    <t>mail@11nip-iliou.att.sch.gr</t>
  </si>
  <si>
    <t>ΠΟΛΥΓΥΡΟΥ ΚΑΙ ΚΗΦΙΣΣΟΥ 2</t>
  </si>
  <si>
    <t>12ο ΝΗΠΙΑΓΩΓΕΙΟ ΙΛΙΟΥ</t>
  </si>
  <si>
    <t>mail@12nip-iliou.att.sch.gr</t>
  </si>
  <si>
    <t>ΞΥΛΟΚΑΣΤΡΟΥ 2 &amp; ΦΛΕΒΑΣ</t>
  </si>
  <si>
    <t>1ο ΝΗΠΙΑΓΩΓΕΙΟ ΑΓΙΩΝ ΑΝΑΡΓΥΡΩΝ</t>
  </si>
  <si>
    <t>mail@1nip-ag-anarg.att.sch.gr</t>
  </si>
  <si>
    <t>ΜΑΥΡΟΜΙΧΑΛΗ  12Α</t>
  </si>
  <si>
    <t>2ο ΝΗΠΙΑΓΩΓΕΙΟ ΑΓΙΩΝ ΑΝΑΡΓΥΡΩΝ</t>
  </si>
  <si>
    <t>mail@2nip-ag-anarg.att.sch.gr</t>
  </si>
  <si>
    <t>ΜΕΓΑΛΟΥ ΑΛΕΞΑΝΔΡΟΥ 128</t>
  </si>
  <si>
    <t>11ο ΔΗΜΟΤΙΚΟ ΣΧΟΛΕΙΟ ΧΑΪΔΑΡΙΟΥ</t>
  </si>
  <si>
    <t>mail@11dim-chaid.att.sch.gr</t>
  </si>
  <si>
    <t>ΚΥΠΡΙΩΝ ΑΓΩΝΙΣΤΩΝ 33</t>
  </si>
  <si>
    <t>31ο ΔΗΜΟΤΙΚΟ ΣΧΟΛΕΙΟ ΠΕΡΙΣΤΕΡΙΟΥ</t>
  </si>
  <si>
    <t>mail@31dim-perist.att.sch.gr</t>
  </si>
  <si>
    <t>ΒΥΤΙΝΗΣ 23</t>
  </si>
  <si>
    <t>8ο ΔΗΜΟΤΙΚΟ ΣΧΟΛΕΙΟ ΠΕΤΡΟΥΠΟΛΗΣ</t>
  </si>
  <si>
    <t>mail@8dim-petroup.att.sch.gr</t>
  </si>
  <si>
    <t>ΑΚΡΟΠΟΛΕΩΣ 24</t>
  </si>
  <si>
    <t>6ο ΔΗΜΟΤΙΚΟ ΣΧΟΛΕΙΟ ΠΕΤΡΟΥΠΟΛΗΣ</t>
  </si>
  <si>
    <t>mail@6dim-petroup.att.sch.gr</t>
  </si>
  <si>
    <t>ΘΕΣΣΑΛΙΑΣ ΚΑΙ ΡΗΓΑ ΦΕΡΑΙΟΥ 135</t>
  </si>
  <si>
    <t>9ο ΔΗΜΟΤΙΚΟ ΣΧΟΛΕΙΟ ΧΑΪΔΑΡΙΟΥ</t>
  </si>
  <si>
    <t>mail@9dim-chaid.att.sch.gr</t>
  </si>
  <si>
    <t>ΚΟΛΟΚΟΤΡΩΝΗ 38 ΚΑΙ ΙΕΡΑ ΟΔΟΣ</t>
  </si>
  <si>
    <t>11ο ΔΗΜΟΤΙΚΟ ΣΧΟΛΕΙΟ ΑΓΙΩΝ ΑΝΑΡΓΥΡΩΝ</t>
  </si>
  <si>
    <t>mail@11dim-ag-anarg.att.sch.gr</t>
  </si>
  <si>
    <t>ΜΑΥΡΟΜΙΧΑΛΗ 12</t>
  </si>
  <si>
    <t>7ο ΔΗΜΟΤΙΚΟ ΣΧΟΛΕΙΟ ΠΕΡΙΣΤΕΡΙΟΥ</t>
  </si>
  <si>
    <t>mail@7dim-perist.att.sch.gr</t>
  </si>
  <si>
    <t>ΔΑΜΑΣΚΗΝΟΥ 78</t>
  </si>
  <si>
    <t>8ο ΔΗΜΟΤΙΚΟ ΣΧΟΛΕΙΟ ΑΓΙΩΝ ΑΝΑΡΓΥΡΩΝ</t>
  </si>
  <si>
    <t>8dimaganarg@sch.gr</t>
  </si>
  <si>
    <t>ΛΕΩΦΟΡΟΣ ΔΗΜΟΚΡΑΤΙΑΣ 306</t>
  </si>
  <si>
    <t>6ο ΔΗΜΟΤΙΚΟ ΣΧΟΛΕΙΟ ΑΓΙΑΣ ΒΑΡΒΑΡΑΣ</t>
  </si>
  <si>
    <t>mail@6dim-ag-varvar.att.sch.gr</t>
  </si>
  <si>
    <t>ΚΟΛΟΚΥΘΑ 31</t>
  </si>
  <si>
    <t>12ο ΔΗΜΟΤΙΚΟ ΣΧΟΛΕΙΟ ΙΛΙΟΥ</t>
  </si>
  <si>
    <t>mail@12dim-iliou.att.sch.gr</t>
  </si>
  <si>
    <t>ΑΡΓΥΡΟΚΑΣΤΡΟΥ 51</t>
  </si>
  <si>
    <t>9ο ΝΗΠΙΑΓΩΓΕΙΟ ΧΑΪΔΑΡΙΟΥ</t>
  </si>
  <si>
    <t>mail@9nip-chaid.att.sch.gr</t>
  </si>
  <si>
    <t>ΧΑΙΔΑΡΙ</t>
  </si>
  <si>
    <t>ΚΟΛΟΚΟΤΡΩΝΗ ΚΑΙ ΙΕΡΑ ΟΔΟΣ 36</t>
  </si>
  <si>
    <t>14ο ΔΗΜΟΤΙΚΟ ΣΧΟΛΕΙΟ ΠΕΡΙΣΤΕΡΙΟΥ</t>
  </si>
  <si>
    <t>mail@14dim-perist.att.sch.gr</t>
  </si>
  <si>
    <t>ΠΤΟΛΕΜΑΪΔΟΣ 51</t>
  </si>
  <si>
    <t>1ο ΔΗΜΟΤΙΚΟ ΣΧΟΛΕΙΟ ΠΕΤΡΟΥΠΟΛΗΣ</t>
  </si>
  <si>
    <t>mail@1dim-petroup.att.sch.gr</t>
  </si>
  <si>
    <t>ΣΟΥΛΙΟΥ 50</t>
  </si>
  <si>
    <t>9ο ΝΗΠΙΑΓΩΓΕΙΟ ΑΙΓΑΛΕΩ</t>
  </si>
  <si>
    <t>mail@9nip-aigal.att.sch.gr</t>
  </si>
  <si>
    <t>ΑΓΙΟΥ ΒΑΣΙΛΕΙΟΥ ΚΑΙ ΙΑΣΙΟΥ 23</t>
  </si>
  <si>
    <t>3ο ΝΗΠΙΑΓΩΓΕΙΟ ΑΓΙΩΝ ΑΝΑΡΓΥΡΩΝ</t>
  </si>
  <si>
    <t>mail@3nip-ag-anarg.att.sch.gr</t>
  </si>
  <si>
    <t>ΛΥΚΟΣΟΥΡΑΣ ΚΑΙ ΥΨΗΛΑΝΤΟΥ 16</t>
  </si>
  <si>
    <t>24ο ΝΗΠΙΑΓΩΓΕΙΟ ΑΙΓΑΛΕΩ</t>
  </si>
  <si>
    <t>mail@24nip-aigal.att.sch.gr</t>
  </si>
  <si>
    <t>ΧΑΛΕΠΑ  ΚΑΙ ΓΚΥΖΗ</t>
  </si>
  <si>
    <t>12ο ΝΗΠΙΑΓΩΓΕΙΟ ΑΙΓΑΛΕΩ</t>
  </si>
  <si>
    <t>mail@12nip-aigal.att.sch.gr</t>
  </si>
  <si>
    <t>ΑΓΙΑΣ ΜΑΡΙΝΗΣ 15</t>
  </si>
  <si>
    <t>13ο ΝΗΠΙΑΓΩΓΕΙΟ ΠΕΤΡΟΥΠΟΛΗΣ</t>
  </si>
  <si>
    <t>mail@13nip-petroup.att.sch.gr</t>
  </si>
  <si>
    <t>ΛΑΓΚΑΔΑ 11</t>
  </si>
  <si>
    <t>5ο ΝΗΠΙΑΓΩΓΕΙΟ ΑΓΙΩΝ ΑΝΑΡΓΥΡΩΝ</t>
  </si>
  <si>
    <t>mail@5nip-ag-anarg.att.sch.gr</t>
  </si>
  <si>
    <t>Χάλκης 2</t>
  </si>
  <si>
    <t>20ο ΔΗΜΟΤΙΚΟ ΣΧΟΛΕΙΟ ΠΕΡΙΣΤΕΡΙΟΥ</t>
  </si>
  <si>
    <t>mail@20dim-perist.att.sch.gr</t>
  </si>
  <si>
    <t>ΚΩΝΣΤΑΝΤΙΝΟΥΠΟΛΕΩΣ 194</t>
  </si>
  <si>
    <t>13ο ΔΗΜΟΤΙΚΟ ΣΧΟΛΕΙΟ ΙΛΙΟΥ</t>
  </si>
  <si>
    <t>mail@13dim-iliou.att.sch.gr</t>
  </si>
  <si>
    <t>ΚΑΠΠΑΔΟΚΙΑΣ 21</t>
  </si>
  <si>
    <t>8ο ΠΕΙΡΑΜΑΤΙΚΟ ΔΗΜΟΤΙΚΟ ΣΧΟΛΕΙΟ ΑΓΙΑΣ ΒΑΡΒΑΡΑΣ</t>
  </si>
  <si>
    <t>mail@8dim-ag-varvar.att.sch.gr</t>
  </si>
  <si>
    <t>ΡΑΙΔΕΣΤΟΥ 2</t>
  </si>
  <si>
    <t>6ο ΝΗΠΙΑΓΩΓΕΙΟ ΑΙΓΑΛΕΩ</t>
  </si>
  <si>
    <t>mail@6nip-aigal.att.sch.gr</t>
  </si>
  <si>
    <t>ΗΡΑΚΛΕΙΤΟΥ 54</t>
  </si>
  <si>
    <t>45ο ΔΗΜΟΤΙΚΟ ΣΧΟΛΕΙΟ ΠΕΡΙΣΤΕΡΙΟΥ</t>
  </si>
  <si>
    <t>mail@45dim-perist.att.sch.gr</t>
  </si>
  <si>
    <t>ΝΑΟΥΣΗΣ ΚΑΙ ΑΛΦΕΙΟΥ</t>
  </si>
  <si>
    <t>15ο ΝΗΠΙΑΓΩΓΕΙΟ ΠΕΤΡΟΥΠΟΛΗΣ - ΕΛΛΗ ΑΛΕΞΙΟΥ</t>
  </si>
  <si>
    <t>mail@15nip-petroup.att.sch.gr</t>
  </si>
  <si>
    <t>ΚΝΩΣΟΥ &amp; ΗΦΑΙΣΤΟΥ</t>
  </si>
  <si>
    <t>7ο ΔΗΜΟΤΙΚΟ ΣΧΟΛΕΙΟ ΙΛΙΟΥ</t>
  </si>
  <si>
    <t>mail@7dim-iliou.att.sch.gr</t>
  </si>
  <si>
    <t>ΑΝΔΡΕΑ ΠΑΠΑΝΔΡΕΟΥ 55-57</t>
  </si>
  <si>
    <t>9ο  ΔΗΜΟΤΙΚΟ ΣΧΟΛΕΙΟ ΠΕΡΙΣΤΕΡΙΟΥ</t>
  </si>
  <si>
    <t>mail@9dim-perist.att.sch.gr</t>
  </si>
  <si>
    <t>ΚΑΖΑΝΤΖΑΚΗ 6</t>
  </si>
  <si>
    <t>26ο ΔΗΜΟΤΙΚΟ ΣΧΟΛΕΙΟ ΠΕΡΙΣΤΕΡΙΟΥ</t>
  </si>
  <si>
    <t>mail@26dim-perist.att.sch.gr</t>
  </si>
  <si>
    <t>ΦΙΛΙΚΩΝ 63</t>
  </si>
  <si>
    <t>17ο ΝΗΠΙΑΓΩΓΕΙΟ ΑΙΓΑΛΕΩ</t>
  </si>
  <si>
    <t>mail@17nip-aigal.att.sch.gr</t>
  </si>
  <si>
    <t>ΑΓΙΟΥ ΓΕΩΡΓΙΟΥ 22α ΚΑΙ ΕΥΡΥΤΑΝΙΑΣ</t>
  </si>
  <si>
    <t>7ο ΝΗΠΙΑΓΩΓΕΙΟ ΑΓΙΩΝ ΑΝΑΡΓΥΡΩΝ</t>
  </si>
  <si>
    <t>mail@7nip-ag-anarg.att.sch.gr</t>
  </si>
  <si>
    <t>Ν. ΠΛΑΣΤΗΡΑ 204</t>
  </si>
  <si>
    <t>3ο ΝΗΠΙΑΓΩΓΕΙΟ ΑΙΓΑΛΕΩ</t>
  </si>
  <si>
    <t>mail@3nip-aigal.att.sch.gr</t>
  </si>
  <si>
    <t>ΣΟΥΛΙΟΥ ΚΑΙ ΠΕΛΟΠΟΝΝΗΣΟΥ 1</t>
  </si>
  <si>
    <t>5ο ΔΗΜΟΤΙΚΟ ΣΧΟΛΕΙΟ ΑΓΙΑΣ ΒΑΡΒΑΡΑΣ</t>
  </si>
  <si>
    <t>mail@5dim-ag-varvar.att.sch.gr</t>
  </si>
  <si>
    <t>ΠΑΛΑΙΩΝ ΠΑΤΡΩΝ ΓΕΡΜΑΝΟΥ ΤΕΡΜΑ</t>
  </si>
  <si>
    <t>1ο ΝΗΠΙΑΓΩΓΕΙΟ ΧΑΪΔΑΡΙΟΥ</t>
  </si>
  <si>
    <t>mail@1nip-chaid.att.sch.gr</t>
  </si>
  <si>
    <t>ΧΡΙΣΤΟΦΟΡΟΥ ΠΕΡΡΑΙΒΟΥ 8</t>
  </si>
  <si>
    <t>13ο ΝΗΠΙΑΓΩΓΕΙΟ ΑΙΓΑΛΕΩ</t>
  </si>
  <si>
    <t>mail@13nip-aigal.att.sch.gr</t>
  </si>
  <si>
    <t>ΠΕΡΓΑΜΟΥ ΚΑΙ ΚΟΛΟΚΟΤΡΩΝΗ 1</t>
  </si>
  <si>
    <t>8ο ΝΗΠΙΑΓΩΓΕΙΟ ΑΓΙΩΝ ΑΝΑΡΓΥΡΩΝ</t>
  </si>
  <si>
    <t>mail@8nip-ag-anarg.att.sch.gr</t>
  </si>
  <si>
    <t>ΑΡΤΗΣ ΚΑΙ ΚΩΝΣΤΑΝΤΙΝΟΥΠΟΛΕΩΣ</t>
  </si>
  <si>
    <t>4ο ΝΗΠΙΑΓΩΓΕΙΟ ΑΓΙΑΣ ΒΑΡΒΑΡΑΣ</t>
  </si>
  <si>
    <t>mail@4nip-ag-varvar.att.sch.gr</t>
  </si>
  <si>
    <t>ΚΑΡΑΙΣΚΑΚΗ 44</t>
  </si>
  <si>
    <t>13ο ΔΗΜΟΤΙΚΟ ΣΧΟΛΕΙΟ ΑΙΓΑΛΕΩ - ΑΓΓΕΛΟΣ ΣΙΚΕΛΙΑΝΟΣ</t>
  </si>
  <si>
    <t>mail@13dim-aigal.att.sch.gr</t>
  </si>
  <si>
    <t>ΑΓΙΟΥ ΓΕΩΡΓΙΟΥ 21</t>
  </si>
  <si>
    <t>15ο ΝΗΠΙΑΓΩΓΕΙΟ ΙΛΙΟΥ</t>
  </si>
  <si>
    <t>mail@15nip-iliou.att.sch.gr</t>
  </si>
  <si>
    <t>ΒΕΛΕΣΤΙΝΟΥ 40</t>
  </si>
  <si>
    <t>16ο ΝΗΠΙΑΓΩΓΕΙΟ ΑΙΓΑΛΕΩ</t>
  </si>
  <si>
    <t>mail@16nip-aigal.att.sch.gr</t>
  </si>
  <si>
    <t>ΠΑΠΟΥΛΑ 76</t>
  </si>
  <si>
    <t>6ο ΝΗΠΙΑΓΩΓΕΙΟ ΑΓΙΑΣ ΒΑΡΒΑΡΑΣ</t>
  </si>
  <si>
    <t>mail@6nip-ag-varvar.att.sch.gr</t>
  </si>
  <si>
    <t>ΔΟΞΗΣ 2</t>
  </si>
  <si>
    <t>16ο ΝΗΠΙΑΓΩΓΕΙΟ ΙΛΙΟΥ</t>
  </si>
  <si>
    <t>mail@16nip-iliou.att.sch.gr</t>
  </si>
  <si>
    <t>ΚΑΡΠΕΝΗΣΙΟΥ 30</t>
  </si>
  <si>
    <t>17ο ΝΗΠΙΑΓΩΓΕΙΟ ΙΛΙΟΥ</t>
  </si>
  <si>
    <t>mail@17nip-iliou.att.sch.gr</t>
  </si>
  <si>
    <t>ΠΕΤΡΟΥΠΟΛΕΩΣ 76</t>
  </si>
  <si>
    <t>5ο ΝΗΠΙΑΓΩΓΕΙΟ ΧΑΪΔΑΡΙΟΥ</t>
  </si>
  <si>
    <t>mail@5nip-chaid.att.sch.gr</t>
  </si>
  <si>
    <t>ΠΕΛΟΠΟΝΝΗΣΟΥ 2</t>
  </si>
  <si>
    <t>6ο ΔΗΜΟΤΙΚΟ ΣΧΟΛΕΙΟ ΚΑΜΑΤΕΡΟΥ</t>
  </si>
  <si>
    <t>mail@6dim-kamat.att.sch.gr</t>
  </si>
  <si>
    <t>ΚΑΜΑΤΕΡΟ</t>
  </si>
  <si>
    <t>ΓΟΥΝΑΡΗ ΚΑΙ ΜΙΑΟΥΛΗ</t>
  </si>
  <si>
    <t>10ο ΝΗΠΙΑΓΩΓΕΙΟ ΑΓΙΩΝ ΑΝΑΡΓΥΡΩΝ</t>
  </si>
  <si>
    <t>mail@10nip-ag-anarg.att.sch.gr</t>
  </si>
  <si>
    <t>ΝΑΥΑΡΙΝΟΥ 4</t>
  </si>
  <si>
    <t>18ο ΝΗΠΙΑΓΩΓΕΙΟ ΙΛΙΟΥ</t>
  </si>
  <si>
    <t>mail@18nip-iliou.att.sch.gr</t>
  </si>
  <si>
    <t>ΑΡΓΥΡΟΚΑΣΤΡΟΥ 49</t>
  </si>
  <si>
    <t>7ο ΔΗΜΟΤΙΚΟ ΣΧΟΛΕΙΟ ΑΙΓΑΛΕΩ - ΚΩΣΤΗΣ ΠΑΛΑΜΑΣ</t>
  </si>
  <si>
    <t>mail@7dim-aigal.att.sch.gr</t>
  </si>
  <si>
    <t>ΠΕΛΟΠΟΝΝΗΣΟΥ 5</t>
  </si>
  <si>
    <t>4ο ΝΗΠΙΑΓΩΓΕΙΟ ΧΑΪΔΑΡΙΟΥ</t>
  </si>
  <si>
    <t>mail@4nip-chaid.att.sch.gr</t>
  </si>
  <si>
    <t>ΚΟΡΥΤΣΑΣ 6Α</t>
  </si>
  <si>
    <t>3ο ΔΗΜΟΤΙΚΟ ΣΧΟΛΕΙΟ ΧΑΪΔΑΡΙΟΥ</t>
  </si>
  <si>
    <t>mail@3dim-chaid.att.sch.gr</t>
  </si>
  <si>
    <t>ΚΟΡΥΤΣΑΣ 6</t>
  </si>
  <si>
    <t>1ο ΔΗΜΟΤΙΚΟ ΣΧΟΛΕΙΟ ΑΙΓΑΛΕΩ - " ΝΙΚΟΣ ΚΑΒΒΑΔΙΑΣ - ΜΑΡΑΜΠΟΥ"</t>
  </si>
  <si>
    <t>mail@1dim-aigal.att.sch.gr</t>
  </si>
  <si>
    <t>ΠΕΡΓΑΜΟΥ ΚΑΙ ΜΙΑΟΥΛΗ</t>
  </si>
  <si>
    <t>7ο ΝΗΠΙΑΓΩΓΕΙΟ ΑΙΓΑΛΕΩ</t>
  </si>
  <si>
    <t>mail@7nip-aigal.att.sch.gr</t>
  </si>
  <si>
    <t>ΠΑΠΑΝΙΚΟΛΗ 14</t>
  </si>
  <si>
    <t>20ο ΔΗΜΟΤΙΚΟ ΣΧΟΛΕΙΟ ΑΙΓΑΛΕΩ - Γ. ΣΕΦΕΡΗΣ</t>
  </si>
  <si>
    <t>mail@20dim-aigal.att.sch.gr</t>
  </si>
  <si>
    <t>ΒΟΡΕΙΟΥ ΗΠΕΙΡΟΥ ΚΑΙ ΜΑΚΡΗΣ</t>
  </si>
  <si>
    <t>4ο ΔΗΜΟΤΙΚΟ ΣΧΟΛΕΙΟ ΧΑΪΔΑΡΙΟΥ</t>
  </si>
  <si>
    <t>mail@4dim-chaid.att.sch.gr</t>
  </si>
  <si>
    <t>ΑΓΙΑΣ ΓΡΗΓΟΡΟΥΣΑΣ 3</t>
  </si>
  <si>
    <t>8ο ΝΗΠΙΑΓΩΓΕΙΟ ΧΑΪΔΑΡΙΟΥ</t>
  </si>
  <si>
    <t>mail@8nip-chaid.att.sch.gr</t>
  </si>
  <si>
    <t>ΗΡΩΩΝ ΠΟΛΥΤΕΧΝΕΙΟΥ 64</t>
  </si>
  <si>
    <t>6ο ΝΗΠΙΑΓΩΓΕΙΟ ΧΑΪΔΑΡΙΟΥ</t>
  </si>
  <si>
    <t>mail@6nip-chaid.att.sch.gr</t>
  </si>
  <si>
    <t>ΚΥΠΡΙΩΝ ΑΓΩΝΙΣΤΩΝ 72</t>
  </si>
  <si>
    <t>4ο ΔΗΜΟΤΙΚΟ ΣΧΟΛΕΙΟ ΑΙΓΑΛΕΩ "ΜΙΚΗΣ ΘΕΟΔΩΡΑΚΗΣ"</t>
  </si>
  <si>
    <t>mail@4dim-aigal.att.sch.gr</t>
  </si>
  <si>
    <t>ΠΕΡΓΑΜΟΥ ΚΑΙ ΚΟΛΟΚΟΤΡΩΝΗ</t>
  </si>
  <si>
    <t>19ο ΝΗΠΙΑΓΩΓΕΙΟ ΙΛΙΟΥ</t>
  </si>
  <si>
    <t>mail@19nip-iliou.att.sch.gr</t>
  </si>
  <si>
    <t>ΒΡΥΣΗΙΔΟΣ 53  και  ΠΟΛΥΦΗΜΟΥ</t>
  </si>
  <si>
    <t>21ο ΝΗΠΙΑΓΩΓΕΙΟ ΙΛΙΟΥ</t>
  </si>
  <si>
    <t>mail@21nip-iliou.att.sch.gr</t>
  </si>
  <si>
    <t>ΑΝΔΡΟΥ ΚΑΙ ΣΠΕΤΣΩΝ</t>
  </si>
  <si>
    <t>23ο ΝΗΠΙΑΓΩΓΕΙΟ ΙΛΙΟΥ</t>
  </si>
  <si>
    <t>mail@23nip-iliou.att.sch.gr</t>
  </si>
  <si>
    <t>ΠΑΤΡΙΑΡΧΟΥ ΦΩΤΙΟΥ ΚΑΙ ΚΥΡΙΛΛΟΥ</t>
  </si>
  <si>
    <t>24ο ΝΗΠΙΑΓΩΓΕΙΟ ΙΛΙΟΥ</t>
  </si>
  <si>
    <t>mail@24nip-iliou.att.sch.gr</t>
  </si>
  <si>
    <t>ΝΙΟΒΗΣ ΚΑΙ ΖΙΤΣΗΣ</t>
  </si>
  <si>
    <t>26ο ΝΗΠΙΑΓΩΓΕΙΟ ΙΛΙΟΥ</t>
  </si>
  <si>
    <t>mail@26nip-iliou.att.sch.gr</t>
  </si>
  <si>
    <t>ΦΑΝΑΡΙΟΥ 4</t>
  </si>
  <si>
    <t>7ο ΔΗΜΟΤΙΚΟ ΣΧΟΛΕΙΟ ΧΑΪΔΑΡΙΟΥ - ΝΙΚΟΛΑΟΣ ΓΥΖΗΣ</t>
  </si>
  <si>
    <t>mail@7dim-chaid.att.sch.gr</t>
  </si>
  <si>
    <t>ΓΡΑΜΜΟΥ ΚΑΙ ΡΟΔΟΥ</t>
  </si>
  <si>
    <t>3ο ΔΗΜΟΤΙΚΟ ΣΧΟΛΕΙΟ ΠΕΤΡΟΥΠΟΛΗΣ</t>
  </si>
  <si>
    <t>mail@3dim-petroup.att.sch.gr</t>
  </si>
  <si>
    <t>ΘΕΣΣΑΛΙΑΣ ΚΑΙ ΡΗΓΑ ΦΕΡΑΙΟΥ</t>
  </si>
  <si>
    <t>5ο ΔΗΜΟΤΙΚΟ ΣΧΟΛΕΙΟ ΙΛΙΟΥ</t>
  </si>
  <si>
    <t>mail@5dim-iliou.att.sch.gr</t>
  </si>
  <si>
    <t>3ο ΔΗΜΟΤΙΚΟ ΣΧΟΛΕΙΟ ΑΙΓΑΛΕΩ "ΝΙΚΟΛΑΟΣ ΠΟΛΙΤΗΣ"</t>
  </si>
  <si>
    <t>3dimaigal@sch.gr</t>
  </si>
  <si>
    <t>ΙΕΡΟΛΟΧΙΤΩΝ 1</t>
  </si>
  <si>
    <t>17ο ΔΗΜΟΤΙΚΟ ΣΧΟΛΕΙΟ ΑΙΓΑΛΕΩ - Γ. ΔΡΟΣΙΝΗΣ</t>
  </si>
  <si>
    <t>mail@17dim-aigal.att.sch.gr</t>
  </si>
  <si>
    <t>ΟΛΥΜΠΙΑΣ ΚΑΙ ΚΟΡΙΝΘΟΥ</t>
  </si>
  <si>
    <t>15ο ΝΗΠΙΑΓΩΓΕΙΟ ΠΕΡΙΣΤΕΡΙΟΥ</t>
  </si>
  <si>
    <t>mail@15nip-perist.att.sch.gr</t>
  </si>
  <si>
    <t>ΕΛΕΥΘΕΡΙΟΥ ΒΕΝΙΖΕΛΟΥ ΚΑΙ ΠΛΑΤΩΝΟΣ 40</t>
  </si>
  <si>
    <t>11ο ΝΗΠΙΑΓΩΓΕΙΟ ΠΕΡΙΣΤΕΡΙΟΥ</t>
  </si>
  <si>
    <t>mail@11nip-perist.att.sch.gr</t>
  </si>
  <si>
    <t>ΘΕΤΙΔΟΣ 4 ΚΑΙ ΠΗΛΕΩΣ</t>
  </si>
  <si>
    <t>13ο ΝΗΠΙΑΓΩΓΕΙΟ ΠΕΡΙΣΤΕΡΙΟΥ</t>
  </si>
  <si>
    <t>mail@13nip-perist.att.sch.gr</t>
  </si>
  <si>
    <t>ΟΛΥΜΠΙΟΝΙΚΩΝ ΚΑΙ ΚΟΤΖΙΑ</t>
  </si>
  <si>
    <t>6ο ΔΗΜΟΤΙΚΟ ΣΧΟΛΕΙΟ ΠΕΡΙΣΤΕΡΙΟΥ</t>
  </si>
  <si>
    <t>mail@6dim-perist.att.sch.gr</t>
  </si>
  <si>
    <t>16ο ΔΗΜΟΤΙΚΟ ΣΧΟΛΕΙΟ ΙΛΙΟΥ</t>
  </si>
  <si>
    <t>mail@16dim-iliou.att.sch.gr</t>
  </si>
  <si>
    <t>ΠΛΟΥΤΑΡΧΟΥ 3</t>
  </si>
  <si>
    <t>25ο ΔΗΜΟΤΙΚΟ ΣΧΟΛΕΙΟ ΠΕΡΙΣΤΕΡΙΟΥ</t>
  </si>
  <si>
    <t>mail@25dim-perist.att.sch.gr</t>
  </si>
  <si>
    <t>ΑΛΚΙΜΟΥ 47 ΚΑΙ ΚΑΡΥΑΤΙΔΟΣ</t>
  </si>
  <si>
    <t>2ο ΔΗΜΟΤΙΚΟ ΣΧΟΛΕΙΟ ΑΓΙΑΣ ΒΑΡΒΑΡΑΣ</t>
  </si>
  <si>
    <t>mail@2dim-ag-varvar.att.sch.gr</t>
  </si>
  <si>
    <t>ΣΤΕΦΑΝΟΥ ΣΑΡΑΦΗ ΚΑΙ ΑΝΔΡΕΟΥ ΔΗΜΗΤΡΙΟΥ</t>
  </si>
  <si>
    <t>3ο ΔΗΜΟΤΙΚΟ ΣΧΟΛΕΙΟ ΚΑΜΑΤΕΡΟΥ</t>
  </si>
  <si>
    <t>mail@3dim-kamat.att.sch.gr</t>
  </si>
  <si>
    <t>ΑΓΙΟΥ ΝΙΚΟΛΑΟΥ  27 &amp; ΑΡΑΧΩΒΗΣ 15</t>
  </si>
  <si>
    <t>6ο ΔΗΜΟΤΙΚΟ ΣΧΟΛΕΙΟ ΑΙΓΑΛΕΩ - ΚΩΝΣΤΑΝΤΙΝΟΣ ΚΑΒΑΦΗΣ</t>
  </si>
  <si>
    <t>mail@6dim-aigal.att.sch.gr</t>
  </si>
  <si>
    <t>22ο ΝΗΠΙΑΓΩΓΕΙΟ ΑΙΓΑΛΕΩ</t>
  </si>
  <si>
    <t>mail@22nip-aigal.att.sch.gr</t>
  </si>
  <si>
    <t>ΣΕΡΙΦΟΥ ΚΑΙ ΞΑΝΘΗΣ 1</t>
  </si>
  <si>
    <t>5ο ΔΗΜΟΤΙΚΟ ΣΧΟΛΕΙΟ ΑΙΓΑΛΕΩ - ΓΙΑΝΝΗΣ ΡΙΤΣΟΣ</t>
  </si>
  <si>
    <t>mail@5dim-aigal.att.sch.gr</t>
  </si>
  <si>
    <t>Αιγάλεω</t>
  </si>
  <si>
    <t>6ο ΔΗΜΟΤΙΚΟ ΣΧΟΛΕΙΟ ΧΑΪΔΑΡΙΟΥ</t>
  </si>
  <si>
    <t>mail@6dim-chaid.att.sch.gr</t>
  </si>
  <si>
    <t>ΚΟΜΝΗΝΩΝ 39</t>
  </si>
  <si>
    <t>14ο ΝΗΠΙΑΓΩΓΕΙΟ ΠΕΡΙΣΤΕΡΙΟΥ</t>
  </si>
  <si>
    <t>mail@14nip-perist.att.sch.gr</t>
  </si>
  <si>
    <t>Ακαρνανίας 65</t>
  </si>
  <si>
    <t>10ο ΔΗΜΟΤΙΚΟ ΣΧΟΛΕΙΟ ΧΑΪΔΑΡΙΟΥ</t>
  </si>
  <si>
    <t>mail@10dim-chaid.att.sch.gr</t>
  </si>
  <si>
    <t>ΤΕΡΜΑ ΜΕΛΙΤΑΣ</t>
  </si>
  <si>
    <t>23ο ΝΗΠΙΑΓΩΓΕΙΟ ΠΕΡΙΣΤΕΡΙΟΥ</t>
  </si>
  <si>
    <t>mail@23nip-perist.att.sch.gr</t>
  </si>
  <si>
    <t>ΠΡΟΣΚΟΠΩΝ ΚΑΙ ΝΑΪΑΔΩΝ</t>
  </si>
  <si>
    <t>20ο ΝΗΠΙΑΓΩΓΕΙΟ ΙΛΙΟΥ</t>
  </si>
  <si>
    <t>mail@20nip-iliou.att.sch.gr</t>
  </si>
  <si>
    <t>ΠΟΛΥΤΕΚΝΩΝ 12</t>
  </si>
  <si>
    <t>14ο ΝΗΠΙΑΓΩΓΕΙΟ ΧΑΪΔΑΡΙΟΥ</t>
  </si>
  <si>
    <t>mail@14nip-chaid.att.sch.gr</t>
  </si>
  <si>
    <t>ΚΕΡΚΥΡΑΣ 10</t>
  </si>
  <si>
    <t>28ο ΝΗΠΙΑΓΩΓΕΙΟ ΙΛΙΟΥ</t>
  </si>
  <si>
    <t>mail@28nip-iliou.att.sch.gr</t>
  </si>
  <si>
    <t>ΔΙΟΜΗΔΟΥΣ 2Α ΚΑΙ ΕΡΜΙΟΝΗΣ</t>
  </si>
  <si>
    <t>5ο ΔΗΜΟΤΙΚΟ ΣΧΟΛΕΙΟ ΚΑΜΑΤΕΡΟΥ</t>
  </si>
  <si>
    <t>mail@5dim-kamat.att.sch.gr</t>
  </si>
  <si>
    <t>Καματερό</t>
  </si>
  <si>
    <t>Μακεδονίας 32</t>
  </si>
  <si>
    <t>30ο ΝΗΠΙΑΓΩΓΕΙΟ ΠΕΡΙΣΤΕΡΙΟΥ</t>
  </si>
  <si>
    <t>mail@30nip-perist.att.sch.gr</t>
  </si>
  <si>
    <t>ΠΑΝΑΓΗ ΤΣΑΛΔΑΡΗ 2</t>
  </si>
  <si>
    <t>7ο ΝΗΠΙΑΓΩΓΕΙΟ ΧΑΪΔΑΡΙΟΥ</t>
  </si>
  <si>
    <t>mail@7nip-chaid.att.sch.gr</t>
  </si>
  <si>
    <t>1ο ΝΗΠΙΑΓΩΓΕΙΟ ΙΛΙΟΥ</t>
  </si>
  <si>
    <t>mail@1nip-iliou.att.sch.gr</t>
  </si>
  <si>
    <t>ΝΑΥΣΙΚΑΣ ΚΑΙ ΕΚΤΟΡΟΣ</t>
  </si>
  <si>
    <t>45ο ΝΗΠΙΑΓΩΓΕΙΟ ΠΕΡΙΣΤΕΡΙΟΥ</t>
  </si>
  <si>
    <t>mail@45nip-perist.att.sch.gr</t>
  </si>
  <si>
    <t>ΗΣΙΟΔΟΥ 67</t>
  </si>
  <si>
    <t>1ο ΝΗΠΙΑΓΩΓΕΙΟ ΚΑΜΑΤΕΡΟΥ</t>
  </si>
  <si>
    <t>mail@1nip-kamat.att.sch.gr</t>
  </si>
  <si>
    <t>ΘΕΣΣΑΛΟΝΙΚΗΣ 37</t>
  </si>
  <si>
    <t>2ο ΝΗΠΙΑΓΩΓΕΙΟ ΚΑΜΑΤΕΡΟΥ</t>
  </si>
  <si>
    <t>mail@2nip-kamat.att.sch.gr</t>
  </si>
  <si>
    <t>ΤΕΡΜΑ ΓΡΗΓΟΡΙΟΥ ΛΑΜΠΡΑΚΗ</t>
  </si>
  <si>
    <t>10ο ΝΗΠΙΑΓΩΓΕΙΟ ΠΕΡΙΣΤΕΡΙΟΥ</t>
  </si>
  <si>
    <t>mail@10nip-perist.att.sch.gr</t>
  </si>
  <si>
    <t>ΦΙΛΙΚΩΝ ΚΑΙ ΑΠΠΙΑΝΟΥ 2</t>
  </si>
  <si>
    <t>3ο ΝΗΠΙΑΓΩΓΕΙΟ ΚΑΜΑΤΕΡΟΥ</t>
  </si>
  <si>
    <t>mail@3nip-kamat.att.sch.gr</t>
  </si>
  <si>
    <t>ΑΓΙΟΥ ΝΙΚΟΛΑΟΥ ΚΑΙ ΑΛΑΜΑΝΑΣ 27</t>
  </si>
  <si>
    <t>4ο ΝΗΠΙΑΓΩΓΕΙΟ ΠΕΤΡΟΥΠΟΛΗΣ</t>
  </si>
  <si>
    <t>mail@4nip-petroup.att.sch.gr</t>
  </si>
  <si>
    <t>ΕΛΕΥΘΕΡΙΟΥ ΒΕΝΙΖΕΛΟΥ 1</t>
  </si>
  <si>
    <t>16ο ΝΗΠΙΑΓΩΓΕΙΟ ΧΑΪΔΑΡΙΟΥ</t>
  </si>
  <si>
    <t>mail@16nip-chaid.att.sch.gr</t>
  </si>
  <si>
    <t>ΡΙΜΙΝΙ 2</t>
  </si>
  <si>
    <t>13ο ΠΕΙΡΑΜΑΤΙΚΟ ΝΗΠΙΑΓΩΓΕΙΟ ΑΓΙΑΣ ΒΑΡΒΑΡΑΣ</t>
  </si>
  <si>
    <t>mail@13nip-ag-varvar.att.sch.gr</t>
  </si>
  <si>
    <t>14ο ΔΗΜΟΤΙΚΟ ΣΧΟΛΕΙΟ ΑΙΓΑΛΕΩ "ΔΙΟΝΥΣΙΟΣ ΣΟΛΩΜΟΣ"</t>
  </si>
  <si>
    <t>mail@14dim-aigal.att.sch.gr</t>
  </si>
  <si>
    <t>ΑΙΓΙΝΗΣ 8</t>
  </si>
  <si>
    <t>2ο ΝΗΠΙΑΓΩΓΕΙΟ ΧΑΪΔΑΡΙΟΥ</t>
  </si>
  <si>
    <t>mail@2nip-chaid.att.sch.gr</t>
  </si>
  <si>
    <t>ΗΡ. ΠΟΛΥΤΕΧΝΕΙΟΥ 102</t>
  </si>
  <si>
    <t>39ο ΔΗΜΟΤΙΚΟ ΣΧΟΛΕΙΟ ΠΕΡΙΣΤΕΡΙΟΥ</t>
  </si>
  <si>
    <t>mail@39dim-perist.att.sch.gr</t>
  </si>
  <si>
    <t>ΚΑΡΥΑΤΙΔΟΣ 95</t>
  </si>
  <si>
    <t>4ο ΝΗΠΙΑΓΩΓΕΙΟ ΚΑΜΑΤΕΡΟΥ</t>
  </si>
  <si>
    <t>mail@4nip-kamat.att.sch.gr</t>
  </si>
  <si>
    <t>ΣΚΟΠΕΛΟΥ  7</t>
  </si>
  <si>
    <t>5ο ΝΗΠΙΑΓΩΓΕΙΟ ΚΑΜΑΤΕΡΟΥ</t>
  </si>
  <si>
    <t>mail@5nip-kamat.att.sch.gr</t>
  </si>
  <si>
    <t>ΜΑΚΕΔΟΝΙΑΣ 32  ΚΑΙ ΑΛΙΕΝΤΕ</t>
  </si>
  <si>
    <t>6ο ΝΗΠΙΑΓΩΓΕΙΟ ΚΑΜΑΤΕΡΟΥ</t>
  </si>
  <si>
    <t>mail@6nip-kamat.att.sch.gr</t>
  </si>
  <si>
    <t>ΚΩΣΤΗ ΠΑΛΑΜΑ ΚΑΙ ΜΙΑΟΥΛΗ</t>
  </si>
  <si>
    <t>11ο ΔΗΜΟΤΙΚΟ ΣΧΟΛΕΙΟ ΑΙΓΑΛΕΩ</t>
  </si>
  <si>
    <t>mail@11dim-aigal.att.sch.gr</t>
  </si>
  <si>
    <t>ΖΗΝΩΝΟΣ &amp; ΠΡΟΜΗΘΕΩΣ (προσωρινά ΘΗΒΩΝ &amp; ΣΚΡΑ)</t>
  </si>
  <si>
    <t>12ο ΔΗΜΟΤΙΚΟ ΣΧΟΛΕΙΟ ΠΕΤΡΟΥΠΟΛΗΣ - ΑΝΤΩΝΗΣ ΣΑΜΑΡΑΚΗΣ</t>
  </si>
  <si>
    <t>mail@12dim-petroup.att.sch.gr</t>
  </si>
  <si>
    <t>ΘΡΑΚΗΣ 107-109</t>
  </si>
  <si>
    <t>35ο ΔΗΜΟΤΙΚΟ ΣΧΟΛΕΙΟ ΠΕΡΙΣΤΕΡΙΟΥ</t>
  </si>
  <si>
    <t>mail@35dim-perist.att.sch.gr</t>
  </si>
  <si>
    <t>ΑΝΤΙΦΑΝΟΥΣ 17  ΚΑΙ ΦΙΛΙΚΩΝ</t>
  </si>
  <si>
    <t>4ο ΔΗΜΟΤΙΚΟ ΣΧΟΛΕΙΟ ΠΕΤΡΟΥΠΟΛΗΣ - "ΙΩΑΝΝΗΣ ΚΑΠΟΔΙΣΤΡΙΑΣ"</t>
  </si>
  <si>
    <t>mail@4dim-petroup.att.sch.gr</t>
  </si>
  <si>
    <t>ΧΡΥΣΟΣΤΟΜΟΥ ΣΜΥΡΝΗΣ 7</t>
  </si>
  <si>
    <t>5ο ΔΗΜΟΤΙΚΟ ΣΧΟΛΕΙΟ ΠΕΡΙΣΤΕΡΙΟΥ</t>
  </si>
  <si>
    <t>mail@5dim-perist.att.sch.gr</t>
  </si>
  <si>
    <t>ΚΕΡΚΥΡΑΣ 15</t>
  </si>
  <si>
    <t>1ο ΝΗΠΙΑΓΩΓΕΙΟ ΠΕΡΙΣΤΕΡΙΟΥ</t>
  </si>
  <si>
    <t>mail@1nip-perist.att.sch.gr</t>
  </si>
  <si>
    <t>ΔΗΜΟΣΘΕΝΟΥΣ 44</t>
  </si>
  <si>
    <t>7ο ΝΗΠΙΑΓΩΓΕΙΟ ΠΕΡΙΣΤΕΡΙΟΥ</t>
  </si>
  <si>
    <t>mail@7nip-perist.att.sch.gr</t>
  </si>
  <si>
    <t>ΙΘΑΚΗΣ ΚΑΙ ΡΟΔΟΥ 1</t>
  </si>
  <si>
    <t>2ο ΔΗΜΟΤΙΚΟ ΣΧΟΛΕΙΟ ΧΑΪΔΑΡΙΟΥ</t>
  </si>
  <si>
    <t>mail@2dim-chaid.att.sch.gr</t>
  </si>
  <si>
    <t>15ο ΝΗΠΙΑΓΩΓΕΙΟ ΧΑΙΔΑΡΙΟΥ</t>
  </si>
  <si>
    <t>mail@15nip-chaid.att.sch.gr</t>
  </si>
  <si>
    <t>ΜΠΟΥΜΠΟΥΛΙΝΑΣ ΚΑΙ ΝΑΞΟΥ</t>
  </si>
  <si>
    <t>4ο ΝΗΠΙΑΓΩΓΕΙΟ ΑΓΙΩΝ ΑΝΑΡΓΥΡΩΝ</t>
  </si>
  <si>
    <t>mail@4nip-ag-anarg.att.sch.gr</t>
  </si>
  <si>
    <t>ΛΥΚΟΥΡΓΟΥ ΚΑΙ ΨΑΡΡΩΝ 33</t>
  </si>
  <si>
    <t>1ο ΝΗΠΙΑΓΩΓΕΙΟ ΠΕΤΡΟΥΠΟΛΗΣ</t>
  </si>
  <si>
    <t>mail@1nip-petroup.att.sch.gr</t>
  </si>
  <si>
    <t>ΣΟΥΛΙΟΥ 52</t>
  </si>
  <si>
    <t>1ο ΔΗΜΟΤΙΚΟ ΣΧΟΛΕΙΟ ΑΓΙΑΣ ΒΑΡΒΑΡΑΣ</t>
  </si>
  <si>
    <t>mail@1dim-ag-varvar.att.sch.gr</t>
  </si>
  <si>
    <t>ΠΑΠΑΦΛΕΣΣΑ 21</t>
  </si>
  <si>
    <t>7ο ΝΗΠΙΑΓΩΓΕΙΟ ΚΑΜΑΤΕΡΟΥ</t>
  </si>
  <si>
    <t>mail@7nip-kamat.att.sch.gr</t>
  </si>
  <si>
    <t>3ο ΝΗΠΙΑΓΩΓΕΙΟ ΠΕΤΡΟΥΠΟΛΗΣ</t>
  </si>
  <si>
    <t>mail@3nip-petroup.att.sch.gr</t>
  </si>
  <si>
    <t>ΝΑΥΑΡΙΝΟΥ 47 ΚΑΙ ΣΚΟΥΦΑ</t>
  </si>
  <si>
    <t>8ο ΝΗΠΙΑΓΩΓΕΙΟ ΚΑΜΑΤΕΡΟΥ</t>
  </si>
  <si>
    <t>mail@8nip-kamat.att.sch.gr</t>
  </si>
  <si>
    <t>ΑΙΟΛΟΥ 117</t>
  </si>
  <si>
    <t>5ο ΝΗΠΙΑΓΩΓΕΙΟ ΠΕΤΡΟΥΠΟΛΗΣ</t>
  </si>
  <si>
    <t>mail@5nip-petroup.att.sch.gr</t>
  </si>
  <si>
    <t>ΑΝΑΤΟΛΙΚΗΣ ΡΩΜΥΛΙΑΣ ΚΑΙ ΣΤΕΡΕΑΣ ΕΛΛΑΔΑΣ</t>
  </si>
  <si>
    <t>19ο ΔΗΜΟΤΙΚΟ ΣΧΟΛΕΙΟ ΠΕΡΙΣΤΕΡΙΟΥ</t>
  </si>
  <si>
    <t>mail@19dim-perist.att.sch.gr</t>
  </si>
  <si>
    <t>Περιστέρι</t>
  </si>
  <si>
    <t>ΛΑΣΙΘΙΟΥ &amp; ΛΕΒΙΔΙΟΥ</t>
  </si>
  <si>
    <t>9ο ΝΗΠΙΑΓΩΓΕΙΟ ΚΑΜΑΤΕΡΟΥ</t>
  </si>
  <si>
    <t>mail@9nip-kamat.att.sch.gr</t>
  </si>
  <si>
    <t>ΠΑΡΑΜΥΘΙΑΣ ΚΑΙ ΛΑΜΙΑΣ 2</t>
  </si>
  <si>
    <t>2ο ΔΗΜΟΤΙΚΟ ΣΧΟΛΕΙΟ ΑΙΓΑΛΕΩ - "ΝΙΚΟΣ ΓΚΑΤΣΟΣ"</t>
  </si>
  <si>
    <t>mail@2dim-aigal.att.sch.gr</t>
  </si>
  <si>
    <t>ΓΡΗΓΟΡΙΟΥ ΚΥΔΩΝΙΩΝ 30</t>
  </si>
  <si>
    <t>48ο ΝΗΠΙΑΓΩΓΕΙΟ ΠΕΡΙΣΤΕΡΙΟΥ</t>
  </si>
  <si>
    <t>mail@48nip-perist.att.sch.gr</t>
  </si>
  <si>
    <t>ΦΙΛΙΠΠΙΑΔΟΣ ΚΑΙ ΦΑΡΣΑΛΩΝ 58</t>
  </si>
  <si>
    <t>10ο ΝΗΠΙΑΓΩΓΕΙΟ ΠΕΤΡΟΥΠΟΛΗΣ</t>
  </si>
  <si>
    <t>mail@10nip-petroup.att.sch.gr</t>
  </si>
  <si>
    <t>ΣΠΑΡΤΗΣ 56</t>
  </si>
  <si>
    <t>4ο ΔΗΜΟΤΙΚΟ ΣΧΟΛΕΙΟ ΑΓΙΩΝ ΑΝΑΡΓΥΡΩΝ - ΑΔΑΜΑΝΤΙΟΣ ΚΟΡΑΗΣ</t>
  </si>
  <si>
    <t>mail@4dim-ag-anarg.att.sch.gr</t>
  </si>
  <si>
    <t>Ν. ΚΟΡΩΝΑΙΟΥ 4</t>
  </si>
  <si>
    <t>11ο ΝΗΠΙΑΓΩΓΕΙΟ ΠΕΤΡΟΥΠΟΛΗΣ</t>
  </si>
  <si>
    <t>mail@11nip-petroup.att.sch.gr</t>
  </si>
  <si>
    <t>5ο ΝΗΠΙΑΓΩΓΕΙΟ ΠΕΡΙΣΤΕΡΙΟΥ</t>
  </si>
  <si>
    <t>mail@5nip-perist.att.sch.gr</t>
  </si>
  <si>
    <t>8ο ΔΗΜΟΤΙΚΟ ΣΧΟΛΕΙΟ ΚΑΜΑΤΕΡΟΥ</t>
  </si>
  <si>
    <t>mail@8dim-kamat.att.sch.gr</t>
  </si>
  <si>
    <t>ΠΑΡΟΥ ΚΑΙ ΚΑΡΥΣΤΟΥ</t>
  </si>
  <si>
    <t>2ο ΝΗΠΙΑΓΩΓΕΙΟ ΠΕΤΡΟΥΠΟΛΗΣ</t>
  </si>
  <si>
    <t>mail@2nip-petroup.att.sch.gr</t>
  </si>
  <si>
    <t>ΒΑΛΤΕΤΣΙΟΥ 25</t>
  </si>
  <si>
    <t>6ο ΔΗΜΟΤΙΚΟ ΣΧΟΛΕΙΟ ΙΛΙΟΥ</t>
  </si>
  <si>
    <t>mail@6dim-iliou.att.sch.gr</t>
  </si>
  <si>
    <t>ΔΑΒΑΚΗ 50</t>
  </si>
  <si>
    <t>44ο ΝΗΠΙΑΓΩΓΕΙΟ ΠΕΡΙΣΤΕΡΙΟΥ</t>
  </si>
  <si>
    <t>mail@44nip-perist.att.sch.gr</t>
  </si>
  <si>
    <t>ΜΕΣΟΛΟΓΓΙΟΥ 79</t>
  </si>
  <si>
    <t>24ο ΝΗΠΙΑΓΩΓΕΙΟ ΠΕΡΙΣΤΕΡΙΟΥ</t>
  </si>
  <si>
    <t>mail@24nip-perist.att.sch.gr</t>
  </si>
  <si>
    <t>ΚΑΠΕΤΑΝ ΧΡΟΝΑ 38</t>
  </si>
  <si>
    <t>18ο ΔΗΜΟΤΙΚΟ ΣΧΟΛΕΙΟ ΠΕΡΙΣΤΕΡΙΟΥ</t>
  </si>
  <si>
    <t>mail@18dim-perist.att.sch.gr</t>
  </si>
  <si>
    <t>14ο ΝΗΠΙΑΓΩΓΕΙΟ ΙΛΙΟΥ</t>
  </si>
  <si>
    <t>mail@14nip-iliou.att.sch.gr</t>
  </si>
  <si>
    <t>ΒΙΤΥΒΙΛΙΑ 34</t>
  </si>
  <si>
    <t>14ο ΝΗΠΙΑΓΩΓΕΙΟ ΠΕΤΡΟΥΠΟΛΗΣ</t>
  </si>
  <si>
    <t>mail@14nip-petroup.att.sch.gr</t>
  </si>
  <si>
    <t>ΠΕΛΟΠΟΝΝΗΣΟΥ ΚΑΙ ΒΟΡΕΙΟΥ ΗΠΕΙΡΟΥ</t>
  </si>
  <si>
    <t>13ο ΝΗΠΙΑΓΩΓΕΙΟ ΙΛΙΟΥ</t>
  </si>
  <si>
    <t>mail@13nip-iliou.att.sch.gr</t>
  </si>
  <si>
    <t>26ο ΔΗΜΟΤΙΚΟ ΣΧΟΛΕΙΟ ΙΛΙΟΥ</t>
  </si>
  <si>
    <t>mail@26dim-iliou.att.sch.gr</t>
  </si>
  <si>
    <t>ΕΥΑΓΓΕΛΙΣΤΡΙΑΣ ΚΑΙ ΦΛΕΒΑΣ</t>
  </si>
  <si>
    <t>7ο ΔΗΜΟΤΙΚΟ ΣΧΟΛΕΙΟ ΚΑΜΑΤΕΡΟΥ</t>
  </si>
  <si>
    <t>mail@7dim-kamat.att.sch.gr</t>
  </si>
  <si>
    <t>ΤΕΡΜΑ ΑΘΑΝΑΣΙΟΥ ΔΙΑΚΟΥ</t>
  </si>
  <si>
    <t>36ο ΔΗΜΟΤΙΚΟ ΣΧΟΛΕΙΟ ΠΕΡΙΣΤΕΡΙΟΥ</t>
  </si>
  <si>
    <t>mail@36dim-perist.att.sch.gr</t>
  </si>
  <si>
    <t>ΤΡΩΩΝ ΚΑΙ ΣΟΛΩΜΟΥ</t>
  </si>
  <si>
    <t>11ο ΔΗΜΟΤΙΚΟ ΣΧΟΛΕΙΟ ΠΕΡΙΣΤΕΡΙΟΥ - ΟΔΥΣΣΕΑΣ ΕΛΥΤΗΣ</t>
  </si>
  <si>
    <t>mail@11dim-perist.att.sch.gr</t>
  </si>
  <si>
    <t>42ο ΝΗΠΙΑΓΩΓΕΙΟ ΠΕΡΙΣΤΕΡΙΟΥ</t>
  </si>
  <si>
    <t>mail@42nip-perist.att.sch.gr</t>
  </si>
  <si>
    <t>21ο ΔΗΜΟΤΙΚΟ ΣΧΟΛΕΙΟ ΠΕΡΙΣΤΕΡΙΟΥ</t>
  </si>
  <si>
    <t>mail@21dim-perist.att.sch.gr</t>
  </si>
  <si>
    <t>ΑΘΗΝΑΣ ΚΑΙ ΠΡΟΣΚΟΠΩΝ</t>
  </si>
  <si>
    <t>15ο ΔΗΜΟΤΙΚΟ ΣΧΟΛΕΙΟ ΠΕΡΙΣΤΕΡΙΟΥ</t>
  </si>
  <si>
    <t>mail@15dim-perist.att.sch.gr</t>
  </si>
  <si>
    <t>ΑΛΜΥΡΟΥ 9</t>
  </si>
  <si>
    <t>2ο ΔΗΜΟΤΙΚΟ ΣΧΟΛΕΙΟ ΠΕΡΙΣΤΕΡΙΟΥ</t>
  </si>
  <si>
    <t>mail@2dim-perist.att.sch.gr</t>
  </si>
  <si>
    <t>ΑΡΚΑΔΙΟΥ 25</t>
  </si>
  <si>
    <t>3ο ΔΗΜΟΤΙΚΟ ΣΧΟΛΕΙΟ ΠΕΡΙΣΤΕΡΙΟΥ</t>
  </si>
  <si>
    <t>mail@3dim-perist.att.sch.gr</t>
  </si>
  <si>
    <t>ΝΕΟΚΛΕΟΥΣ 12</t>
  </si>
  <si>
    <t>9ο ΝΗΠΙΑΓΩΓΕΙΟ ΠΕΡΙΣΤΕΡΙΟΥ</t>
  </si>
  <si>
    <t>mail@9nip-perist.att.sch.gr</t>
  </si>
  <si>
    <t>15ο ΔΗΜΟΤΙΚΟ ΣΧΟΛΕΙΟ ΙΛΙΟΥ</t>
  </si>
  <si>
    <t>15dimili@sch.gr</t>
  </si>
  <si>
    <t>ΠΡΙΑΜΟΥ 187</t>
  </si>
  <si>
    <t>1ο ΔΗΜΟΤΙΚΟ ΣΧΟΛΕΙΟ ΑΓΙΩΝ ΑΝΑΡΓΥΡΩΝ</t>
  </si>
  <si>
    <t>mail@1dim-ag-anarg.att.sch.gr</t>
  </si>
  <si>
    <t>ΑΓΙΩΝ ΑΝΑΡΓΥΡΩΝ 45</t>
  </si>
  <si>
    <t>9ο ΔΗΜΟΤΙΚΟ ΣΧΟΛΕΙΟ ΑΙΓΑΛΕΩ - ΟΔΥΣΣΕΑΣ ΕΛΥΤΗΣ</t>
  </si>
  <si>
    <t>mail@9dim-aigal.att.sch.gr</t>
  </si>
  <si>
    <t>ΣΑΛΑΜΙΝΟΣ 10</t>
  </si>
  <si>
    <t>33ο ΝΗΠΙΑΓΩΓΕΙΟ ΠΕΡΙΣΤΕΡΙΟΥ</t>
  </si>
  <si>
    <t>mail@33nip-perist.att.sch.gr</t>
  </si>
  <si>
    <t>12ο ΔΗΜΟΤΙΚΟ ΣΧΟΛΕΙΟ ΠΕΡΙΣΤΕΡΙΟΥ</t>
  </si>
  <si>
    <t>mail@12dim-perist.att.sch.gr</t>
  </si>
  <si>
    <t>ΚΩΣΤΗ ΠΑΛΑΜΑ 2Β</t>
  </si>
  <si>
    <t>3ο ΔΗΜΟΤΙΚΟ ΣΧΟΛΕΙΟ ΙΛΙΟΥ</t>
  </si>
  <si>
    <t>mail@3dim-iliou.att.sch.gr</t>
  </si>
  <si>
    <t>ΓΡΗΓΟΡΙΟΥ Ε΄ 38</t>
  </si>
  <si>
    <t>25ο ΔΗΜΟΤΙΚΟ ΣΧΟΛΕΙΟ ΙΛΙΟΥ</t>
  </si>
  <si>
    <t>mail@25dim-iliou.att.sch.gr</t>
  </si>
  <si>
    <t>ΠΡΕΒΕΖΗΣ 43</t>
  </si>
  <si>
    <t>28ο ΝΗΠΙΑΓΩΓΕΙΟ ΠΕΡΙΣΤΕΡΙΟΥ</t>
  </si>
  <si>
    <t>mail@28nip-perist.att.sch.gr</t>
  </si>
  <si>
    <t>ΤΖΩΝ ΚΕΝΝΕΝΤΥ 188 ΚΑΙ ΛΕΩΝΙΔΑ</t>
  </si>
  <si>
    <t>6ο ΔΗΜΟΤΙΚΟ ΣΧΟΛΕΙΟ ΑΓΙΩΝ ΑΝΑΡΓΥΡΩΝ</t>
  </si>
  <si>
    <t>mail@6dim-ag-anarg.att.sch.gr</t>
  </si>
  <si>
    <t>ΛΥΚΟΥΡΓΟΥ ΚΑΙ ΣΠΑΡΤΗΣ 2</t>
  </si>
  <si>
    <t>11ο ΔΗΜΟΤΙΚΟ ΣΧΟΛΕΙΟ ΙΛΙΟΥ</t>
  </si>
  <si>
    <t>mail@11dim-iliou.att.sch.gr</t>
  </si>
  <si>
    <t>ΠΑΛΑΤΙΑΝΗΣ 2-6</t>
  </si>
  <si>
    <t>3ο ΔΗΜΟΤΙΚΟ ΣΧΟΛΕΙΟ ΑΓΙΩΝ ΑΝΑΡΓΥΡΩΝ</t>
  </si>
  <si>
    <t>mail@3dim-ag-anarg.att.sch.gr</t>
  </si>
  <si>
    <t>Άγιοι Ανάργυροι</t>
  </si>
  <si>
    <t>Γεωργίου Παπανδρέου 98</t>
  </si>
  <si>
    <t>47ο ΔΗΜΟΤΙΚΟ ΣΧΟΛΕΙΟ ΠΕΡΙΣΤΕΡΙΟΥ</t>
  </si>
  <si>
    <t>mail@47dim-perist.att.sch.gr</t>
  </si>
  <si>
    <t>ΑΝΑΤΟΛΗΣ 25</t>
  </si>
  <si>
    <t>2ο ΔΗΜΟΤΙΚΟ ΣΧΟΛΕΙΟ ΙΛΙΟΥ</t>
  </si>
  <si>
    <t>mail@2dim-iliou.att.sch.gr</t>
  </si>
  <si>
    <t>ΧΡΥΣΗΙΔΟΣ 71</t>
  </si>
  <si>
    <t>25ο ΝΗΠΙΑΓΩΓΕΙΟ ΠΕΡΙΣΤΕΡΙΟΥ</t>
  </si>
  <si>
    <t>mail@25nip-perist.att.sch.gr</t>
  </si>
  <si>
    <t>ΠΑΛΑΙΑΣ ΚΑΒΑΛΑΣ ΚΑΙ ΘΕΟΚΛΗΤΟΥ 11</t>
  </si>
  <si>
    <t>4ο ΔΗΜΟΤΙΚΟ ΣΧΟΛΕΙΟ ΑΓΙΑΣ ΒΑΡΒΑΡΑΣ</t>
  </si>
  <si>
    <t>mail@4dim-ag-varvar.att.sch.gr</t>
  </si>
  <si>
    <t>ΣΙΦΝΟΥ 18</t>
  </si>
  <si>
    <t>13ο ΔΗΜΟΤΙΚΟ ΣΧΟΛΕΙΟ ΠΕΡΙΣΤΕΡΙΟΥ</t>
  </si>
  <si>
    <t>mail@13dim-perist.att.sch.gr</t>
  </si>
  <si>
    <t>ΠΡΕΣΠΑΣ ΚΑΙ ΠΕΛΟΠΙΔΑ</t>
  </si>
  <si>
    <t>20ο ΔΗΜΟΤΙΚΟ ΣΧΟΛΕΙΟ ΙΛΙΟΥ</t>
  </si>
  <si>
    <t>mail@20dim-iliou.att.sch.gr</t>
  </si>
  <si>
    <t>ΕΠΤΑΝΗΣΟΥ 23</t>
  </si>
  <si>
    <t>3ο ΝΗΠΙΑΓΩΓΕΙΟ ΧΑΪΔΑΡΙΟΥ</t>
  </si>
  <si>
    <t>mail@3nip-chaid.att.sch.gr</t>
  </si>
  <si>
    <t>10ο ΔΗΜΟΤΙΚΟ ΣΧΟΛΕΙΟ ΙΛΙΟΥ</t>
  </si>
  <si>
    <t>mail@10dim-iliou.att.sch.gr</t>
  </si>
  <si>
    <t>17ο ΝΗΠΙΑΓΩΓΕΙΟ ΠΕΡΙΣΤΕΡΙΟΥ</t>
  </si>
  <si>
    <t>mail@17nip-perist.att.sch.gr</t>
  </si>
  <si>
    <t>ΛΥΣΙΑ ΚΑΙ ΛΑΔΑ</t>
  </si>
  <si>
    <t>19ο ΝΗΠΙΑΓΩΓΕΙΟ ΠΕΡΙΣΤΕΡΙΟΥ</t>
  </si>
  <si>
    <t>mail@19nip-perist.att.sch.gr</t>
  </si>
  <si>
    <t>30ο ΔΗΜΟΤΙΚΟ ΣΧΟΛΕΙΟ ΠΕΡΙΣΤΕΡΙΟΥ</t>
  </si>
  <si>
    <t>mail@30dim-perist.att.sch.gr</t>
  </si>
  <si>
    <t>7ο ΔΗΜΟΤΙΚΟ ΣΧΟΛΕΙΟ ΠΕΤΡΟΥΠΟΛΗΣ</t>
  </si>
  <si>
    <t>mail@7dim-petroup.att.sch.gr</t>
  </si>
  <si>
    <t>ΚΩΣΤΗ ΠΑΛΑΜΑ 189</t>
  </si>
  <si>
    <t>19ο ΔΗΜΟΤΙΚΟ ΣΧΟΛΕΙΟ ΑΙΓΑΛΕΩ "ΑΡΙΣΤΟΤΕΛΗΣ ΒΑΛΑΩΡΙΤΗΣ"</t>
  </si>
  <si>
    <t>mail@19dim-aigal.att.sch.gr</t>
  </si>
  <si>
    <t>ΑΓΙΟΥ ΣΠΥΡΙΔΩΝΟΣ ΚΑΙ ΜΗΛΙΩΝΗ 3</t>
  </si>
  <si>
    <t>10ο ΔΗΜΟΤΙΚΟ ΣΧΟΛΕΙΟ ΠΕΤΡΟΥΠΟΛΗΣ</t>
  </si>
  <si>
    <t>mail@10dim-petroup.att.sch.gr</t>
  </si>
  <si>
    <t>ΑΘΑΝΑΣΙΟΥ ΔΙΑΚΟΥ 120</t>
  </si>
  <si>
    <t>5ο ΝΗΠΙΑΓΩΓΕΙΟ ΑΙΓΑΛΕΩ</t>
  </si>
  <si>
    <t>mail@5nip-aigal.att.sch.gr</t>
  </si>
  <si>
    <t>ΔΑΦΝΗΣ ΚΑΙ ΠΑΛΑΙΑΣ ΚΑΒΑΛΑΣ 1</t>
  </si>
  <si>
    <t>7ο ΔΣ ΑΓΙΩΝ ΑΝΑΡΓΥΡΩΝ "ΑΛΕΞΑΝΔΡΟΣ ΠΑΠΑΔΙΑΜΑΝΤΗΣ"</t>
  </si>
  <si>
    <t>mail@7dim-ag-anarg.att.sch.gr</t>
  </si>
  <si>
    <t>ΝΙΚΟΛΑΟΥ ΠΛΑΣΤΗΡΑ 206</t>
  </si>
  <si>
    <t>2ο ΔΗΜΟΤΙΚΟ ΣΧΟΛΕΙΟ ΠΕΤΡΟΥΠΟΛΗΣ</t>
  </si>
  <si>
    <t>mail@2dim-petroup.att.sch.gr</t>
  </si>
  <si>
    <t>ΚΩΣΤΑ ΒΑΡΝΑΛΗ 33</t>
  </si>
  <si>
    <t>9ο ΔΗΜΟΤΙΚΟ ΣΧΟΛΕΙΟ ΙΛΙΟΥ</t>
  </si>
  <si>
    <t>mail@9dim-iliou.att.sch.gr</t>
  </si>
  <si>
    <t>16ο ΔΗΜΟΤΙΚΟ ΣΧΟΛΕΙΟ ΠΕΡΙΣΤΕΡΙΟΥ</t>
  </si>
  <si>
    <t>mail@16dim-perist.att.sch.gr</t>
  </si>
  <si>
    <t>ΧΡΥΣΑΝΘΟΥ 3</t>
  </si>
  <si>
    <t>27ο ΔΗΜΟΤΙΚΟ ΣΧΟΛΕΙΟ ΠΕΡΙΣΤΕΡΙΟΥ "ΚΩΝΣΤΑΝΤΙΝΟΣ ΠΑΠΛΩΜΑΤΑΣ"</t>
  </si>
  <si>
    <t>mail@27dim-perist.att.sch.gr</t>
  </si>
  <si>
    <t>ΠΤΟΛΕΜΑΪΔΟΣ 11</t>
  </si>
  <si>
    <t>24ο ΔΗΜΟΤΙΚΟ ΣΧΟΛΕΙΟ ΙΛΙΟΥ</t>
  </si>
  <si>
    <t>mail@24dim-iliou.att.sch.gr</t>
  </si>
  <si>
    <t>Ίλιον,</t>
  </si>
  <si>
    <t>ΚΑΡΠΑΘΟΥ ΤΕΡΜΑ</t>
  </si>
  <si>
    <t>4ο ΔΗΜΟΤΙΚΟ ΣΧΟΛΕΙΟ ΚΑΜΑΤΕΡΟΥ "ΔΗΜΗΤΡΙΟΣ ΝΑΝΟΠΟΥΛΟΣ"</t>
  </si>
  <si>
    <t>4dimkamat@sch.gr</t>
  </si>
  <si>
    <t>8ο ΔΗΜΟΤΙΚΟ ΣΧΟΛΕΙΟ ΙΛΙΟΥ</t>
  </si>
  <si>
    <t>mail@8dim-iliou.att.sch.gr</t>
  </si>
  <si>
    <t>ΜΕΣΗΣ ΑΝΑΤΟΛΗΣ ΚΑΙ ΤΕΝΕΔΟΥ 1</t>
  </si>
  <si>
    <t>41ο ΔΗΜΟΤΙΚΟ ΣΧΟΛΕΙΟ ΠΕΡΙΣΤΕΡΙΟΥ</t>
  </si>
  <si>
    <t>mail@41dim-perist.att.sch.gr</t>
  </si>
  <si>
    <t>ΚΑΚΤΟΥ ΚΑΙ ΑΓΙΟΥ ΙΕΡΟΘΕΟΥ</t>
  </si>
  <si>
    <t>8ο ΝΗΠΙΑΓΩΓΕΙΟ ΠΕΡΙΣΤΕΡΙΟΥ</t>
  </si>
  <si>
    <t>mail@8nip-perist.att.sch.gr</t>
  </si>
  <si>
    <t>ΚΟΡΙΝΗΣ 46</t>
  </si>
  <si>
    <t>2ο ΝΗΠΙΑΓΩΓΕΙΟ ΑΙΓΑΛΕΩ</t>
  </si>
  <si>
    <t>mail@2nip-aigal.att.sch.gr</t>
  </si>
  <si>
    <t>4ο ΔΗΜΟΤΙΚΟ ΣΧΟΛΕΙΟ ΠΕΡΙΣΤΕΡΙΟΥ</t>
  </si>
  <si>
    <t>mail@4dim-perist.att.sch.gr</t>
  </si>
  <si>
    <t>ΜΕΣΟΛΟΓΓΙΟΥ 75</t>
  </si>
  <si>
    <t>38ο ΔΗΜΟΤΙΚΟ ΣΧΟΛΕΙΟ ΠΕΡΙΣΤΕΡΙΟΥ</t>
  </si>
  <si>
    <t>mail@38dim-perist.att.sch.gr</t>
  </si>
  <si>
    <t>ΑΓΙΟΥ ΜΥΡΩΝΟΣ  9</t>
  </si>
  <si>
    <t>1ο ΔΗΜΟΤΙΚΟ ΣΧΟΛΕΙΟ ΚΑΜΑΤΕΡΟΥ</t>
  </si>
  <si>
    <t>mail@1dim-kamat.att.sch.gr</t>
  </si>
  <si>
    <t>ΖΑΧΑΡΙΤΣΑ 1 &amp; ΤΕΡΜΑ ΓΡΗΓΟΡΙΟΥ ΛΑΜΠΡΑΚΗ</t>
  </si>
  <si>
    <t>2ο ΔΗΜΟΤΙΚΟ ΣΧΟΛΕΙΟ ΚΑΜΑΤΕΡΟΥ</t>
  </si>
  <si>
    <t>mail@2dim-kamat.att.sch.gr</t>
  </si>
  <si>
    <t>ΓΡΗΓΟΡΙΟΥ ΛΑΜΠΡΑΚΗ ΚΑΙ ΘΕΣΣΑΛΟΝΙΚΗΣ</t>
  </si>
  <si>
    <t>32ο ΔΗΜΟΤΙΚΟ ΣΧΟΛΕΙΟ ΠΕΡΙΣΤΕΡΙΟΥ</t>
  </si>
  <si>
    <t>mail@32dim-perist.att.sch.gr</t>
  </si>
  <si>
    <t>ΓΡΑΝΙΚΟΥ 49</t>
  </si>
  <si>
    <t>27ο ΝΗΠΙΑΓΩΓΕΙΟ ΙΛΙΟΥ</t>
  </si>
  <si>
    <t>mail@27nip-iliou.att.sch.gr</t>
  </si>
  <si>
    <t>ΓΡΗΓΟΡΙΟΥ  Ε 38</t>
  </si>
  <si>
    <t>46ο ΝΗΠΙΑΓΩΓΕΙΟ ΠΕΡΙΣΤΕΡΙΟΥ</t>
  </si>
  <si>
    <t>mail@46nip-perist.att.sch.gr</t>
  </si>
  <si>
    <t>ΚΑΖΑΝΤΖΑΚΗ 8</t>
  </si>
  <si>
    <t>29ο ΔΗΜΟΤΙΚΟ ΣΧΟΛΕΙΟ ΠΕΡΙΣΤΕΡΙΟΥ</t>
  </si>
  <si>
    <t>mail@29dim-perist.att.sch.gr</t>
  </si>
  <si>
    <t>ΑΚΑΡΝΑΝΙΑΣ 65</t>
  </si>
  <si>
    <t>40ο ΔΗΜΟΤΙΚΟ ΣΧΟΛΕΙΟ ΠΕΡΙΣΤΕΡΙΟΥ</t>
  </si>
  <si>
    <t>mail@40dim-perist.att.sch.gr</t>
  </si>
  <si>
    <t>ΡΟΔΟΠΗΣ 60</t>
  </si>
  <si>
    <t>10ο ΔΗΜΟΤΙΚΟ ΣΧΟΛΕΙΟ ΠΕΡΙΣΤΕΡΙΟΥ</t>
  </si>
  <si>
    <t>mail@10dim-perist.att.sch.gr</t>
  </si>
  <si>
    <t>ΠΟΛΥΔΩΤΟΥ 61</t>
  </si>
  <si>
    <t>22ο ΔΗΜΟΤΙΚΟ ΣΧΟΛΕΙΟ ΠΕΡΙΣΤΕΡΙΟΥ</t>
  </si>
  <si>
    <t>mail@22dim-perist.att.sch.gr</t>
  </si>
  <si>
    <t>ΕΘΝΙΚΗΣ ΑΝΤΙΣΤΑΣΕΩΣ 101</t>
  </si>
  <si>
    <t>ΝΕΣΤΟΡΕΙΟ ΔΗΜΟΤΙΚΟ ΣΧΟΛΕΙΟ ΙΛΙΟΥ</t>
  </si>
  <si>
    <t>mail@21dim-iliou.att.sch.gr</t>
  </si>
  <si>
    <t>ΘΗΒΩΝ 422</t>
  </si>
  <si>
    <t>24ο ΔΗΜΟΤΙΚΟ ΣΧΟΛΕΙΟ ΠΕΡΙΣΤΕΡΙΟΥ</t>
  </si>
  <si>
    <t>mail@24dim-perist.att.sch.gr</t>
  </si>
  <si>
    <t>ΤΕΛΑΜΩΝΟΣ 80</t>
  </si>
  <si>
    <t>33ο  ΔΗΜΟΤΙΚΟ ΣΧΟΛΕΙΟ ΠΕΡΙΣΤΕΡΙΟΥ</t>
  </si>
  <si>
    <t>mail@33dim-perist.att.sch.gr</t>
  </si>
  <si>
    <t>8ο ΔΗΜΟΤΙΚΟ ΣΧΟΛΕΙΟ ΠΕΡΙΣΤΕΡΙΟΥ</t>
  </si>
  <si>
    <t>mail@8dim-perist.att.sch.gr</t>
  </si>
  <si>
    <t>ΦΑΡΣΑΛΩΝ 58</t>
  </si>
  <si>
    <t>1ο ΔΗΜΟΤΙΚΟ ΣΧΟΛΕΙΟ ΠΕΡΙΣΤΕΡΙΟΥ</t>
  </si>
  <si>
    <t>mail@1dim-perist.att.sch.gr</t>
  </si>
  <si>
    <t>ΠΑΝΑΓΗ ΤΣΑΛΔΑΡΗ 2 ΚΑΙ ΚΟΥΝΤΟΥΡΙΩΤΟΥ 1Α</t>
  </si>
  <si>
    <t>14ο ΝΗΠΙΑΓΩΓΕΙΟ ΑΙΓΑΛΕΩ</t>
  </si>
  <si>
    <t>mail@14nip-aigal.att.sch.gr</t>
  </si>
  <si>
    <t>52ο ΝΗΠΙΑΓΩΓΕΙΟ ΠΕΡΙΣΤΕΡΙΟΥ</t>
  </si>
  <si>
    <t>mail@52nip-perist.att.sch.gr</t>
  </si>
  <si>
    <t>ΑΓ.ΕΛΕΥΘΕΡΙΟΥ  54</t>
  </si>
  <si>
    <t>1ο ΔΗΜΟΤΙΚΟ ΣΧΟΛΕΙΟ ΙΛΙΟΥ</t>
  </si>
  <si>
    <t>mail@1dim-iliou.att.sch.gr</t>
  </si>
  <si>
    <t>ΠΡΙΑΜΟΥ 114</t>
  </si>
  <si>
    <t>12ο ΝΗΠΙΑΓΩΓΕΙΟ ΚΑΜΑΤΕΡΟΥ</t>
  </si>
  <si>
    <t>mail@12nip-kamat.att.sch.gr</t>
  </si>
  <si>
    <t>ΛΥΚΙΑΣ 32</t>
  </si>
  <si>
    <t>18ο ΝΗΠΙΑΓΩΓΕΙΟ ΠΕΤΡΟΥΠΟΛΗΣ</t>
  </si>
  <si>
    <t>mail@18nip-petroup.att.sch.gr</t>
  </si>
  <si>
    <t>19ο ΝΗΠΙΑΓΩΓΕΙΟ ΠΕΤΡΟΥΠΟΛΗΣ</t>
  </si>
  <si>
    <t>mail@19nip-petroup.att.sch.gr</t>
  </si>
  <si>
    <t>ΚΑΝΑΡΗ 155</t>
  </si>
  <si>
    <t>Π.Ε. Δ΄ ΑΘΗΝΑΣ</t>
  </si>
  <si>
    <t>11ο ΝΗΠΙΑΓΩΓΕΙΟ ΓΛΥΦΑΔΑΣ</t>
  </si>
  <si>
    <t>mail@11nip-glyfad.att.sch.gr</t>
  </si>
  <si>
    <t>ΓΛΥΦΑΔΑΣ</t>
  </si>
  <si>
    <t>ΓΛΥΦΑΔΑ</t>
  </si>
  <si>
    <t>ΒΕΡΕΛΗ 59</t>
  </si>
  <si>
    <t>18ο ΝΗΠΙΑΓΩΓΕΙΟ ΓΛΥΦΑΔΑΣ</t>
  </si>
  <si>
    <t>mail@18nip-glyfad.att.sch.gr</t>
  </si>
  <si>
    <t>ΝΙΚΗΦΟΡΟΥ 32</t>
  </si>
  <si>
    <t>13ο ΝΗΠΙΑΓΩΓΕΙΟ ΑΡΓΥΡΟΥΠΟΛΗΣ</t>
  </si>
  <si>
    <t>mail@13nip-argyr.att.sch.gr</t>
  </si>
  <si>
    <t>ΕΛΛΗΝΙΚΟΥ - ΑΡΓΥΡΟΥΠΟΛΗΣ</t>
  </si>
  <si>
    <t>ΑΡΓΥΡΟΥΠΟΛΗ</t>
  </si>
  <si>
    <t>ΜΙΛΗΤΟΥ 38</t>
  </si>
  <si>
    <t>22ο ΝΗΠΙΑΓΩΓΕΙΟ ΚΑΛΛΙΘΕΑΣ</t>
  </si>
  <si>
    <t>mail@22nip-kallith.att.sch.gr</t>
  </si>
  <si>
    <t>ΚΑΛΛΙΘΕΑΣ</t>
  </si>
  <si>
    <t>ΚΑΛΛΙΘΕΑ</t>
  </si>
  <si>
    <t>ΔΗΜΟΣΘΕΝΟΥΣ 157</t>
  </si>
  <si>
    <t>26ο ΝΗΠΙΑΓΩΓΕΙΟ ΚΑΛΛΙΘΕΑΣ</t>
  </si>
  <si>
    <t>mail@26nip-kallith.att.sch.gr</t>
  </si>
  <si>
    <t>ΕΛ. ΒΕΝΙΖΕΛΟΥ 175</t>
  </si>
  <si>
    <t>14ο ΝΗΠΙΑΓΩΓΕΙΟ ΚΑΛΛΙΘΕΑΣ</t>
  </si>
  <si>
    <t>mail@14nip-kallith.att.sch.gr</t>
  </si>
  <si>
    <t>ΗΡΑΚΛΕΟΥΣ 19</t>
  </si>
  <si>
    <t>13ο ΝΗΠΙΑΓΩΓΕΙΟ ΓΛΥΦΑΔΑΣ</t>
  </si>
  <si>
    <t>mail@13nip-glyfad.att.sch.gr</t>
  </si>
  <si>
    <t>ΠΥΡΓΟΥ 32</t>
  </si>
  <si>
    <t>8ο ΝΗΠΙΑΓΩΓΕΙΟ ΓΛΥΦΑΔΑΣ</t>
  </si>
  <si>
    <t>mail@8nip-glyfad.att.sch.gr</t>
  </si>
  <si>
    <t>Ρ.ΦΕΡΑΙΟΥ 3</t>
  </si>
  <si>
    <t>15ο ΝΗΠΙΑΓΩΓΕΙΟ ΚΑΛΛΙΘΕΑΣ</t>
  </si>
  <si>
    <t>mail@15nip-kallith.att.sch.gr</t>
  </si>
  <si>
    <t>ΣΑΠΦΟΥΣ  1</t>
  </si>
  <si>
    <t>1ο ΝΗΠΙΑΓΩΓΕΙΟ ΜΟΣΧΑΤΟΥ</t>
  </si>
  <si>
    <t>mail@1nip-mosch.att.sch.gr</t>
  </si>
  <si>
    <t>ΜΟΣΧΑΤΟΥ - ΤΑΥΡΟΥ</t>
  </si>
  <si>
    <t>Μοσχάτο</t>
  </si>
  <si>
    <t>Χρ. Σμύρνης 5 &amp; Χρ. Σμύρνης 20 &amp; Γ.Ρούσου 11α</t>
  </si>
  <si>
    <t>5ο  ΝΗΠΙΑΓΩΓΕΙΟ ΕΛΛΗΝΙΚΟΥ</t>
  </si>
  <si>
    <t>mail@5nip-ellin.att.sch.gr</t>
  </si>
  <si>
    <t>Ελληνικό</t>
  </si>
  <si>
    <t>Εθνάρχου Μακαρίου 30</t>
  </si>
  <si>
    <t>8ο ΝΗΠΙΑΓΩΓΕΙΟ ΚΑΛΛΙΘΕΑΣ</t>
  </si>
  <si>
    <t>mail@8nip-kallith.att.sch.gr</t>
  </si>
  <si>
    <t>ΝΑΥΣΙΚΑΣ 6</t>
  </si>
  <si>
    <t>3ο ΝΗΠΙΑΓΩΓΕΙΟ ΚΑΛΛΙΘΕΑΣ</t>
  </si>
  <si>
    <t>mail@3nip-kallith.att.sch.gr</t>
  </si>
  <si>
    <t>ΠΟΣΕΙΔΩΝΟΣ ΚΑΙ ΕΠΑΜΕΙΝΩΝΔΑ</t>
  </si>
  <si>
    <t>1ο ΝΗΠΙΑΓΩΓΕΙΟ ΕΛΛΗΝΙΚΟΥ</t>
  </si>
  <si>
    <t>mail@1nip-ellin.att.sch.gr</t>
  </si>
  <si>
    <t>ΕΛΛΗΝΙΚΟ</t>
  </si>
  <si>
    <t>ΡΟΔΟΠΟΛΕΩΣ 71</t>
  </si>
  <si>
    <t>4ο  ΝΗΠΙΑΓΩΓΕΙΟ ΜΟΣΧΑΤΟΥ</t>
  </si>
  <si>
    <t>mail@4nip-mosch.att.sch.gr</t>
  </si>
  <si>
    <t>ΜΟΣΧΑΤΟ</t>
  </si>
  <si>
    <t>ΧΕΙΜΑΡΑΣ 25</t>
  </si>
  <si>
    <t>2ο ΝΗΠΙΑΓΩΓΕΙΟ ΚΑΛΛΙΘΕΑΣ</t>
  </si>
  <si>
    <t>mail@2nip-kallith.att.sch.gr</t>
  </si>
  <si>
    <t>ΜΕΤΑΜΟΡΦΩΣΕΩΣ 54</t>
  </si>
  <si>
    <t>19ο  ΝΗΠΙΑΓΩΓΕΙΟ ΚΑΛΛΙΘΕΑΣ</t>
  </si>
  <si>
    <t>mail@19nip-kallith.att.sch.gr</t>
  </si>
  <si>
    <t>ΜΕΤΑΜΟΡΦΩΣΕΩΣ 25</t>
  </si>
  <si>
    <t>2ο ΝΗΠΙΑΓΩΓΕΙΟ ΓΛΥΦΑΔΑΣ</t>
  </si>
  <si>
    <t>mail@2nip-glyfad.att.sch.gr</t>
  </si>
  <si>
    <t>ΙΡΙΔΟΣ 10</t>
  </si>
  <si>
    <t>11ο ΝΗΠΙΑΓΩΓΕΙΟ ΚΑΛΛΙΘΕΑ</t>
  </si>
  <si>
    <t>mail@11nip-kallith.att.sch.gr</t>
  </si>
  <si>
    <t>Ιφιγενείας 22</t>
  </si>
  <si>
    <t>7ο  ΝΗΠΙΑΓΩΓΕΙΟ ΓΛΥΦΑΔΑΣ</t>
  </si>
  <si>
    <t>mail@7nip-glyfad.att.sch.gr</t>
  </si>
  <si>
    <t>Μ. ΑΣΙΑΣ 93</t>
  </si>
  <si>
    <t>9ο ΝΗΠΙΑΓΩΓΕΙΟ ΓΛΥΦΑΔΑΣ</t>
  </si>
  <si>
    <t>mail@9nip-glyfad.att.sch.gr</t>
  </si>
  <si>
    <t>ΠΡΟΦΗΤΗ ΗΛΙΑ 35</t>
  </si>
  <si>
    <t>10ο  ΝΗΠΙΑΓΩΓΕΙΟ ΓΛΥΦΑΔΑΣ</t>
  </si>
  <si>
    <t>mail@10nip-glyfad.att.sch.gr</t>
  </si>
  <si>
    <t>ΕΛΕΥΘΕΡΟΥ ΑΝΘΡΩΠΟΥ 58</t>
  </si>
  <si>
    <t>23ο ΝΗΠΙΑΓΩΓΕΙΟ ΚΑΛΛΙΘΕΑΣ</t>
  </si>
  <si>
    <t>mail@23nip-kallith.att.sch.gr</t>
  </si>
  <si>
    <t>ΚΡΕΜΟΥ 128</t>
  </si>
  <si>
    <t>15ο ΝΗΠΙΑΓΩΓΕΙΟ ΑΡΓΥΡΟΥΠΟΛΗΣ</t>
  </si>
  <si>
    <t>mail@15nip-argyr.att.sch.gr</t>
  </si>
  <si>
    <t>ΑΡΓΥΡΟΥΠΟΛΕΩΣ ΚΑΙ ΦΙΛ. ΕΤΑΙΡΕΙΑΣ</t>
  </si>
  <si>
    <t>25ο ΝΗΠΙΑΓΩΓΕΙΟ ΚΑΛΛΙΘΕΑΣ</t>
  </si>
  <si>
    <t>mail@25nip-kallith.att.sch.gr</t>
  </si>
  <si>
    <t>ΛΥΚΟΥΡΓΟΥ ΚΑΙ ΑΡΓΥΡΟΚΑΣΤΡΟΥ 12</t>
  </si>
  <si>
    <t>10ο  ΝΗΠΙΑΓΩΓΕΙΟ ΚΑΛΛΙΘΕΑΣ</t>
  </si>
  <si>
    <t>mail@10nip-kallith.att.sch.gr</t>
  </si>
  <si>
    <t>ΔΗΜΗΤΡΑΚΟΠΟΥΛΟΥ ΚΑΙ ΛΑΣΚΑΡΙΔΟΥ</t>
  </si>
  <si>
    <t>28ο ΝΗΠΙΑΓΩΓΕΙΟ ΚΑΛΛΙΘΕΑΣ</t>
  </si>
  <si>
    <t>mail@28nip-kallith.att.sch.gr</t>
  </si>
  <si>
    <t>ΑΓ.ΕΛΕΟΥΣΗΣ 28</t>
  </si>
  <si>
    <t>5ο ΝΗΠΙΑΓΩΓΕΙΟ ΜΟΣΧΑΤΟΥ</t>
  </si>
  <si>
    <t>mail@5nip-mosch.att.sch.gr</t>
  </si>
  <si>
    <t>ΑΓ. ΚΩΝΣΤΑΝΤΙΝΟΥ 9 &amp; ΑΡΑΧΩΒΗΣ</t>
  </si>
  <si>
    <t>29ο ΝΗΠΙΑΓΩΓΕΙΟ ΚΑΛΛΙΘΕΑΣ</t>
  </si>
  <si>
    <t>mail@29nip-kallith.att.sch.gr</t>
  </si>
  <si>
    <t>ΛΥΚΟΥΡΓΟΥ 119</t>
  </si>
  <si>
    <t>12ο ΝΗΠΙΑΓΩΓΕΙΟ ΚΑΛΛΙΘΕΑΣ</t>
  </si>
  <si>
    <t>mail@12nip-kallith.att.sch.gr</t>
  </si>
  <si>
    <t>ΚΡΕΜΟΥ 135</t>
  </si>
  <si>
    <t>3ο ΝΗΠΙΑΓΩΓΕΙΟ ΜΟΣΧΑΤΟΥ</t>
  </si>
  <si>
    <t>mail@3nip-mosch.att.sch.gr</t>
  </si>
  <si>
    <t>ΣΟΛΩΜΟΥ 9</t>
  </si>
  <si>
    <t>5ο ΔΗΜΟΤΙΚΟ ΣΧΟΛΕΙΟ ΑΡΓΥΡΟΥΠΟΛΗΣ</t>
  </si>
  <si>
    <t>mail@5dim-argyr.att.sch.gr</t>
  </si>
  <si>
    <t>ΟΛΥΜΠΙΑΣ 5</t>
  </si>
  <si>
    <t>4ο  ΔΗΜΟΤΙΚΟ  ΣΧΟΛΕΙΟ  ΑΓΙΟΥ  ΔΗΜΗΤΡΙΟΥ</t>
  </si>
  <si>
    <t>mail@4dim-ag-dimitr.att.sch.gr</t>
  </si>
  <si>
    <t>ΑΓΙΟΥ ΔΗΜΗΤΡΙΟΥ</t>
  </si>
  <si>
    <t>ΑΓΙΟΣ ΔΗΜΗΤΡΙΟΣ</t>
  </si>
  <si>
    <t>ΧΑΤΖΗΒΑΣΙΛΕΙΟΥ 1</t>
  </si>
  <si>
    <t>11ο  ΝΗΠΙΑΓΩΓΕΙΟ ΝΕΑΣ   ΣΜΥΡΝΗΣ</t>
  </si>
  <si>
    <t>mail@11nip-n-smyrn.att.sch.gr</t>
  </si>
  <si>
    <t>ΝΕΑΣ ΣΜΥΡΝΗΣ</t>
  </si>
  <si>
    <t>ΝΕΑ ΣΜΥΡΝΗ</t>
  </si>
  <si>
    <t>ΚΙΟΥΠΕΤΖΟΓΛΟΥ 14</t>
  </si>
  <si>
    <t>6ο ΔΗΜΟΤΙΚΟ ΣΧΟΛΕΙΟ ΚΑΛΛΙΘΕΑΣ</t>
  </si>
  <si>
    <t>mail@6dim-kallith.att.sch.gr</t>
  </si>
  <si>
    <t>6ο  ΔΗΜΟΤΙΚΟ ΣΧΟΛΕΙΟ  ΝΕΑΣ  ΣΜΥΡΝΗΣ</t>
  </si>
  <si>
    <t>mail@6dim-n-smyrn.att.sch.gr</t>
  </si>
  <si>
    <t>Ν.ΣΜΥΡΝΗ</t>
  </si>
  <si>
    <t>ΠΛΑΤΕΙΑ ΒΑΣ.ΣΟΦΙΑΣ 1</t>
  </si>
  <si>
    <t>2ο ΔΗΜΟΤΙΚΟ ΣΧΟΛΕΙΟ ΜΟΣΧΑΤΟΥ</t>
  </si>
  <si>
    <t>mail@2dim-mosch.att.sch.gr</t>
  </si>
  <si>
    <t>ΦΛΕΜΙΝΓΚ 84</t>
  </si>
  <si>
    <t>11ο  ΔΗΜΟΤΙΚΟ ΣΧΟΛΕΙΟ ΠΑΛΑΙΟΥ ΦΑΛΗΡΟΥ  "ΕΛΕΝΗ ΓΛΥΚΑΤΖΗ ΑΡΒΕΛΕΡ"</t>
  </si>
  <si>
    <t>mail@11dim-p-falir.att.sch.gr</t>
  </si>
  <si>
    <t>ΠΑΛΑΙΟΥ ΦΑΛΗΡΟΥ</t>
  </si>
  <si>
    <t>Παλαιό Φάληρο</t>
  </si>
  <si>
    <t>Ερατούς 20</t>
  </si>
  <si>
    <t>1ο ΝΗΠΙΑΓΩΓΕΙΟ ΠΑΛΑΙΟΥ ΦΑΛΗΡΟΥ</t>
  </si>
  <si>
    <t>mail@1nip-p-falir.att.sch.gr</t>
  </si>
  <si>
    <t>ΠΑΛΑΙΟ ΦΑΛΗΡΟ</t>
  </si>
  <si>
    <t>ΕΣΠΕΡΟΥ 36</t>
  </si>
  <si>
    <t>7ο ΔΗΜΟΤΙΚΟ ΣΧΟΛΕΙΟ ΑΡΓΥΡΟΥΠΟΛΗΣ</t>
  </si>
  <si>
    <t>mail@7dim-argyr.att.sch.gr</t>
  </si>
  <si>
    <t>ΚΩΝΣΤΑΝΤΙΝΟΥΠΟΛΕΩΣ 82</t>
  </si>
  <si>
    <t>2ο ΔΗΜΟΤΙΚΟ ΣΧΟΛΕΙΟ ΚΑΛΛΙΘΕΑΣ - ΕΛΛΗ ΑΛΕΞΙΟΥ</t>
  </si>
  <si>
    <t>2dimkal@sch.gr</t>
  </si>
  <si>
    <t>ΣΑΠΦΟΥΣ 46</t>
  </si>
  <si>
    <t>7ο  ΔΗΜΟΤΙΚΟ ΣΧΟΛΕΙΟ ΠΑΛΑΙΟΥ ΦΑΛΗΡΟΥ</t>
  </si>
  <si>
    <t>mail@7dim-p-falir.att.sch.gr</t>
  </si>
  <si>
    <t>Π.ΦΑΛΗΡΟ</t>
  </si>
  <si>
    <t>ΜΟΥΣΑΙΟΥ 12-14</t>
  </si>
  <si>
    <t>8ο ΔΗΜΟΤΙΚΟ ΣΧΟΛΕΙΟ ΓΛΥΦΑΔΑΣ</t>
  </si>
  <si>
    <t>mail@8dim-glyfad.att.sch.gr</t>
  </si>
  <si>
    <t>ΑΓ.ΝΕΚΤΑΡΙΟΥ ΚΑΙ Γ.ΓΕΝΝΗΜΑΤΑ</t>
  </si>
  <si>
    <t>21ο  ΔΗΜΟΤΙΚΟ ΣΧΟΛΕΙΟ ΚΑΛΛΙΘΕΑΣ</t>
  </si>
  <si>
    <t>mail@21dim-kallith.att.sch.gr</t>
  </si>
  <si>
    <t>ΗΡΑΚΛΕΟΥΣ 91</t>
  </si>
  <si>
    <t>1ο ΝΗΠΙΑΓΩΓΕΙΟ ΚΑΛΛΙΘΕΑΣ</t>
  </si>
  <si>
    <t>mail@1nip-kallith.att.sch.gr</t>
  </si>
  <si>
    <t>ΗΡΑΚΛΕΟΥΣ 248</t>
  </si>
  <si>
    <t>4ο ΔΗΜΟΤΙΚΟ ΣΧΟΛΕΙΟ ΠΑΛΑΙΟΥ  ΦΑΛΗΡΟΥ</t>
  </si>
  <si>
    <t>mail@4dim-p-falir.att.sch.gr</t>
  </si>
  <si>
    <t>ΑΝΔΡΟΜΑΧΗΣ 17</t>
  </si>
  <si>
    <t>17ο  ΔΗΜΟΤΙΚΟ ΣΧΟΛΕΙΟ ΚΑΛΛΙΘΕΑΣ - ΕΛΛΗ ΑΛΕΞΙΟΥ</t>
  </si>
  <si>
    <t>mail@17dim-kallith.att.sch.gr</t>
  </si>
  <si>
    <t>ΛΑΣΚΑΡΙΔΟΥ 37</t>
  </si>
  <si>
    <t>11ο ΔΗΜΟΤΙΚΟ ΣΧΟΛΕΙΟ ΑΓΙΟΥ ΔΗΜΗΤΡΙΟΥ</t>
  </si>
  <si>
    <t>mail@11dim-ag-dimitr.att.sch.gr</t>
  </si>
  <si>
    <t>Άγιος Δημήτριος</t>
  </si>
  <si>
    <t>ΕΛ.ΒΕΝΙΖΕΛΟΥ 14</t>
  </si>
  <si>
    <t>11ο  ΔΗΜΟΤΙΚΟ ΣΧΟΛΕΙΟ ΚΑΛΛΙΘΕΑΣ</t>
  </si>
  <si>
    <t>mail@11dim-kallith.att.sch.gr</t>
  </si>
  <si>
    <t>26ο ΔΗΜΟΤΙΚΟ ΣΧΟΛΕΙΟ ΚΑΛΛΙΘΕΑΣ</t>
  </si>
  <si>
    <t>mail@26dim-kallith.att.sch.gr</t>
  </si>
  <si>
    <t>Καλλιθέα</t>
  </si>
  <si>
    <t>Αγίας Ελεούσας 28</t>
  </si>
  <si>
    <t>11ο ΝΗΠΙΑΓΩΓΕΙΟ ΠΑΛΑΙΟΥ ΦΑΛΗΡΟΥ</t>
  </si>
  <si>
    <t>mail@11nip-p-falir.att.sch.gr</t>
  </si>
  <si>
    <t>ΠΑΝΔΡΟΣΟΥ 27</t>
  </si>
  <si>
    <t>13ο ΔΗΜΟΤΙΚΟ ΣΧΟΛΕΙΟ ΚΑΛΛΙΘΕΑΣ</t>
  </si>
  <si>
    <t>mail@13dim-kallith.att.sch.gr</t>
  </si>
  <si>
    <t>ΦΟΡΝΕΖΗ 31</t>
  </si>
  <si>
    <t>7ο  ΔΗΜΟΤΙΚΟ ΣΧΟΛΕΙΟ ΑΓΙΟΥ ΔΗΜΗΤΡΙΟΥ</t>
  </si>
  <si>
    <t>mail@7dim-ag-dimitr.att.sch.gr</t>
  </si>
  <si>
    <t>ΣΟΥΛΙΟΥ 49</t>
  </si>
  <si>
    <t>5ο  ΔΗΜΟΤΙΚΟ ΣΧΟΛΕΙΟ ΜΟΣΧΑΤΟΥ</t>
  </si>
  <si>
    <t>mail@5dim-mosch.att.sch.gr</t>
  </si>
  <si>
    <t>ΠΛΑΤΩΝΟΣ  174 ΚΑΙ ΧΕΙΜΑΡΑΣ</t>
  </si>
  <si>
    <t>4ο ΔΗΜΟΤΙΚΟ ΣΧΟΛΕΙΟ ΑΛΙΜΟΥ "ΚΥΒΕΛΗ"</t>
  </si>
  <si>
    <t>mail@4dim-alimou.att.sch.gr</t>
  </si>
  <si>
    <t>ΑΛΙΜΟΥ</t>
  </si>
  <si>
    <t>ΑΛΙΜΟΣ</t>
  </si>
  <si>
    <t>ΜΥΡΟΓΙΑΝΝΗ ΚΑΙ ΚΥΒΕΛΗΣ</t>
  </si>
  <si>
    <t>5ο  ΝΗΠΙΑΓΩΓΕΙΟ ΚΑΛΛΙΘΕΑΣ</t>
  </si>
  <si>
    <t>mail@5nip-kallith.att.sch.gr</t>
  </si>
  <si>
    <t>ΦΕΙΔΙΟΥ 9</t>
  </si>
  <si>
    <t>5ο ΔΗΜΟΤΙΚΟ ΣΧΟΛΕΙΟ ΠΑΛΑΙΟΥ ΦΑΛΗΡΟΥ</t>
  </si>
  <si>
    <t>mail@5dim-p-falir.att.sch.gr</t>
  </si>
  <si>
    <t>Λ. ΑΜΦΙΘΕΑΣ 29</t>
  </si>
  <si>
    <t>5ο ΝΗΠΙΑΓΩΓΕΙΟ ΑΛΙΜΟΥ</t>
  </si>
  <si>
    <t>mail@5nip-alimou.att.sch.gr</t>
  </si>
  <si>
    <t>ΑΘΗΝΑΣ 31</t>
  </si>
  <si>
    <t>12ο ΔΗΜΟΤΙΚΟ ΣΧΟΛΕΙΟ ΑΓΙΟΥ ΔΗΜΗΤΡΙΟΥ</t>
  </si>
  <si>
    <t>mail@12dim-ag-dimitr.att.sch.gr</t>
  </si>
  <si>
    <t>ΕΥΡΩΤΑ 28</t>
  </si>
  <si>
    <t>2ο   ΔΗΜΟΤΙΚΟ ΣΧΟΛΕΙΟ ΤΑΥΡΟΥ</t>
  </si>
  <si>
    <t>mail@2dim-tavrou.att.sch.gr</t>
  </si>
  <si>
    <t>ΤΑΥΡΟΣ</t>
  </si>
  <si>
    <t>Λ. ΕΙΡΗΝΗΣ ΚΑΙ ΜΑΚΕΔΟΝΙΑΣ</t>
  </si>
  <si>
    <t>2ο ΝΗΠΙΑΓΩΓΕΙΟ ΑΡΓΥΡΟΥΠΟΛΗΣ</t>
  </si>
  <si>
    <t>mail@2nip-argyr.att.sch.gr</t>
  </si>
  <si>
    <t>ΓΡΑΜΜΟΥ ΚΑΙ ΠΙΝΔΟΥ 55</t>
  </si>
  <si>
    <t>5ο ΔΗΜΟΤΙΚΟ ΣΧΟΛΕΙΟ ΚΑΛΛΙΘΕΑΣ</t>
  </si>
  <si>
    <t>mail@5dim-kallith.att.sch.gr</t>
  </si>
  <si>
    <t>ΣΑΠΦΟΥΣ ΚΑΙ ΚΑΛΥΨΟΥΣ</t>
  </si>
  <si>
    <t>10ο ΝΗΠΙΑΓΩΓΕΙΟ ΑΡΓΥΡΟΥΠΟΛΗΣ</t>
  </si>
  <si>
    <t>mail@10nip-argyr.att.sch.gr</t>
  </si>
  <si>
    <t>ΡΟΥΜΕΛΗΣ 104</t>
  </si>
  <si>
    <t>6ο ΔΗΜΟΤΙΚΟ ΣΧΟΛΕΙΟ ΑΡΓΥΡΟΥΠΟΛΗΣ</t>
  </si>
  <si>
    <t>mail@6dim-argyr.att.sch.gr</t>
  </si>
  <si>
    <t>ΚΥΚΛΑΔΩΝ 7</t>
  </si>
  <si>
    <t>10ο ΔΗΜΟΤΙΚΟ ΣΧΟΛΕΙΟ ΠΑΛΑΙΟΥ ΦΑΛΗΡΟΥ - ΜΑΝΩΛΗΣ ΚΑΛΟΜΟΙΡΗΣ</t>
  </si>
  <si>
    <t>mail@10dim-p-falir.att.sch.gr</t>
  </si>
  <si>
    <t>ΠΑΡΘΕΝΩΝΟΣ 47</t>
  </si>
  <si>
    <t>17ο ΔΗΜΟΤΙΚΟ ΣΧΟΛΕΙΟ ΑΓΙΟΥ ΔΗΜΗΤΡΙΟΥ</t>
  </si>
  <si>
    <t>mail@17dim-ag-dimitr.att.sch.gr</t>
  </si>
  <si>
    <t>ΦΛΕΜΙΝΓΚ 5</t>
  </si>
  <si>
    <t>4ο ΔΗΜΟΤΙΚΟ ΣΧΟΛΕΙΟ ΝΕΑΣ ΣΜΥΡΝΗΣ</t>
  </si>
  <si>
    <t>4dimnsmyrn@sch.gr</t>
  </si>
  <si>
    <t>Νέα Σμύρνη</t>
  </si>
  <si>
    <t>Αποστολάκη 2</t>
  </si>
  <si>
    <t>23ο ΔΗΜΟΤΙΚΟ ΣΧΟΛΕΙΟ ΚΑΛΛΙΘΕΑΣ</t>
  </si>
  <si>
    <t>mail@23dim-kallith.att.sch.gr</t>
  </si>
  <si>
    <t>ΔΗΜΟΣΘΕΝΟΥΣ 211-217</t>
  </si>
  <si>
    <t>10ο ΔΗΜΟΤΙΚΟ ΣΧΟΛΕΙΟ ΚΑΛΛΙΘΕΑΣ</t>
  </si>
  <si>
    <t>mail@10dim-kallith.att.sch.gr</t>
  </si>
  <si>
    <t>ΑΧΙΛΛΕΩΣ 23</t>
  </si>
  <si>
    <t>4ο ΝΗΠΙΑΓΩΓΕΙΟ ΑΛΙΜΟΥ</t>
  </si>
  <si>
    <t>mail@4nip-alimou.att.sch.gr</t>
  </si>
  <si>
    <t>ΚΥΒΕΛΗΣ ΚΑΙ ΜΥΡΟΓΙΑΝΝΗ</t>
  </si>
  <si>
    <t>5ο ΔΗΜΟΤΙΚΟ ΣΧΟΛΕΙΟ ΑΓΙΟΥ ΔΗΜΗΤΡΙΟΥ</t>
  </si>
  <si>
    <t>mail@5dim-ag-dimitr.att.sch.gr</t>
  </si>
  <si>
    <t>ΞΑΝΘΗΣ 48</t>
  </si>
  <si>
    <t>3ο  ΝΗΠΙΑΓΩΓΕΙΟ ΑΛΙΜΟΥ</t>
  </si>
  <si>
    <t>mail@3nip-alimou.att.sch.gr</t>
  </si>
  <si>
    <t>ΚΝΩΣΣΟΥ ΚΑΙ ΛΕΥΚΩΣΙΑΣ  78</t>
  </si>
  <si>
    <t>7ο  ΝΗΠΙΑΓΩΓΕΙΟ ΑΡΓΥΡΟΥΠΟΛΗΣ</t>
  </si>
  <si>
    <t>mail@7nip-argyr.att.sch.gr</t>
  </si>
  <si>
    <t>ΑΛΕΞΙΟΥΠΟΛΕΩΣ ΚΑΙ ΗΠΕΙΡΟΥ 8</t>
  </si>
  <si>
    <t>2ο ΔΗΜΟΤΙΚΟ ΣΧΟΛΕΙΟ ΠΑΛΑΙΟΥ ΦΑΛΗΡΟΥ</t>
  </si>
  <si>
    <t>mail@2dim-p-falir.att.sch.gr</t>
  </si>
  <si>
    <t>ΑΧΙΛΛΕΩΣ 34</t>
  </si>
  <si>
    <t>6ο ΝΗΠΙΑΓΩΓΕΙΟ ΝΕΑΣ ΣΜΥΡΝΗΣ</t>
  </si>
  <si>
    <t>mail@6nip-n-smyrn.att.sch.gr</t>
  </si>
  <si>
    <t>ΠΑΡΑΣΚΕΥΟΠΟΥΛΟΥ 54</t>
  </si>
  <si>
    <t>2ο ΝΗΠΙΑΓΩΓΕΙΟ ΜΟΣΧΑΤΟΥ</t>
  </si>
  <si>
    <t>mail@2nip-mosch.att.sch.gr</t>
  </si>
  <si>
    <t>ΟΜΗΡΟΥ ΚΑΙ ΣΩΚΡΑΤΟΥΣ 34</t>
  </si>
  <si>
    <t>8ο ΝΗΠΙΑΓΩΓΕΙΟ ΑΓΙΟΥ ΔΗΜΗΤΡΙΟΥ</t>
  </si>
  <si>
    <t>mail@8nip-ag-dimitr.att.sch.gr</t>
  </si>
  <si>
    <t>ΦΛΕΜΙΝΓΚ 3</t>
  </si>
  <si>
    <t>ΔΗΜΟΤΙΚΟ ΣΧΟΛΕΙΟ  ΝΕΑΣ ΣΜΥΡΝΗΣ - ΑΓΙΟΣ ΑΝΔΡΕΑΣ</t>
  </si>
  <si>
    <t>mail@dim-n-smyrn.att.sch.gr</t>
  </si>
  <si>
    <t>ΑΠΟΣΤΟΛΑΚΗ 2</t>
  </si>
  <si>
    <t>7ο ΔΗΜΟΤΙΚΟ ΣΧΟΛΕΙΟ ΝΕΑΣ ΣΜΥΡΝΗΣ</t>
  </si>
  <si>
    <t>mail@7dim-n-smyrn.att.sch.gr</t>
  </si>
  <si>
    <t>ΕΥΞΕΙΝΟΥ ΠΟΝΤΟΥ 73 ΚΑΙ ΑΓ.ΣΑΡΑΝΤΑ</t>
  </si>
  <si>
    <t>1ο  ΔΗΜΟΤΙΚΟ ΣΧΟΛΕΙΟ ΑΓΙΟΥ ΔΗΜΗΤΡΙΟΥ</t>
  </si>
  <si>
    <t>mail@1dim-ag-dimitr.att.sch.gr</t>
  </si>
  <si>
    <t>ΤΑΤΑΚΗ 24</t>
  </si>
  <si>
    <t>4ο  ΔΗΜΟΤΙΚΟ ΣΧΟΛΕΙΟ ΚΑΛΛΙΘΕΑΣ</t>
  </si>
  <si>
    <t>mail@4dim-kallith.att.sch.gr</t>
  </si>
  <si>
    <t>6ο  ΝΗΠΙΑΓΩΓΕΙΟ ΑΓΙΟΥ ΔΗΜΗΤΡΙΟΥ</t>
  </si>
  <si>
    <t>mail@6nip-ag-dimitr.att.sch.gr</t>
  </si>
  <si>
    <t>ΜΕΝΕΛΑΟΥ 74</t>
  </si>
  <si>
    <t>4ο ΝΗΠΙΑΓΩΓΕΙΟ ΓΛΥΦΑΔΑΣ</t>
  </si>
  <si>
    <t>mail@4nip-glyfad.att.sch.gr</t>
  </si>
  <si>
    <t>ΒΕΡΕΛΗ 63</t>
  </si>
  <si>
    <t>14ο ΔΗΜΟΤΙΚΟ ΣΧΟΛΕΙΟ ΚΑΛΛΙΘΕΑΣ</t>
  </si>
  <si>
    <t>mail@14dim-kallith.att.sch.gr</t>
  </si>
  <si>
    <t>ΙΑΤΡΙΔΟΥ 141</t>
  </si>
  <si>
    <t>12ο ΔΗΜΟΤΙΚΟ ΣΧΟΛΕΙΟ ΠΑΛΑΙΟΥ ΦΑΛΗΡΟΥ</t>
  </si>
  <si>
    <t>mail@12dim-p-falir.att.sch.gr</t>
  </si>
  <si>
    <t>ΑΕΡΟΠΟΡΩΝ 21</t>
  </si>
  <si>
    <t>18ο ΔΗΜΟΤΙΚΟ ΣΧΟΛΕΙΟ ΑΓΙΟΥ ΔΗΜΗΤΡΙΟΥ</t>
  </si>
  <si>
    <t>mail@18dim-ag-dimitr.att.sch.gr</t>
  </si>
  <si>
    <t>ΓΕΝΝΑΔΙΟΥ ΚΑΙ ΑΓ.ΣΑΡΑΝΤΑ</t>
  </si>
  <si>
    <t>5ο  ΔΗΜΟΤΙΚΟ ΣΧΟΛΕΙΟ ΤΑΥΡΟΥ</t>
  </si>
  <si>
    <t>mail@5dim-tavrou.att.sch.gr</t>
  </si>
  <si>
    <t>ΠΕΙΡΑΙΩΣ ΚΑΙ ΛΑΜΠΡΑΚΗ 1</t>
  </si>
  <si>
    <t>2ο ΝΗΠΙΑΓΩΓΕΙΟ ΠΑΛΑΙΟΥ ΦΑΛΗΡΟΥ</t>
  </si>
  <si>
    <t>mail@2nip-p-falir.att.sch.gr</t>
  </si>
  <si>
    <t>ΘΗΣΕΩΣ 37</t>
  </si>
  <si>
    <t>2ο ΝΗΠΙΑΓΩΓΕΙΟ ΑΓΙΟΥ ΔΗΜΗΤΡΙΟΥ</t>
  </si>
  <si>
    <t>mail@2nip-ag-dimitr.att.sch.gr</t>
  </si>
  <si>
    <t>ΚΛΕΑΡΧΟΥ 53 &amp; ΣΟΦΟΚΛΗ ΒΕΝΙΖΕΛΟΥ 51</t>
  </si>
  <si>
    <t>11ο ΝΗΠΙΑΓΩΓΕΙΟ ΑΛΙΜΟΥ</t>
  </si>
  <si>
    <t>mail@11nip-alimou.att.sch.gr</t>
  </si>
  <si>
    <t>ΜΑΝΔΗΛΑΡΑ ΚΑΙ ΙΚΑΡΙΑΣ</t>
  </si>
  <si>
    <t>4ο ΔΗΜΟΤΙΚΟ ΣΧΟΛΕΙΟ ΓΛΥΦΑΔΑΣ</t>
  </si>
  <si>
    <t>mail@4dim-glyfad.att.sch.gr</t>
  </si>
  <si>
    <t>ΒΕΝΕΖΟΥΕΛΑΣ 36</t>
  </si>
  <si>
    <t>1ο  ΔΗΜΟΤΙΚΟ ΣΧΟΛΕΙΟ ΝΕΑΣ ΣΜΥΡΝΗΣ</t>
  </si>
  <si>
    <t>mail@1dim-n-smyrn.att.sch.gr</t>
  </si>
  <si>
    <t>ΚΟΡΑΗ 20</t>
  </si>
  <si>
    <t>14ο  ΔΗΜΟΤΙΚΟ ΣΧΟΛΕΙΟ ΑΓΙΟΥ ΔΗΜΗΤΡΙΟΥ</t>
  </si>
  <si>
    <t>mail@14dim-ag-dimitr.att.sch.gr</t>
  </si>
  <si>
    <t>ΑΓΙΟΣ  ΔΗΜΗΤΡΙΟΣ</t>
  </si>
  <si>
    <t>ΑΡΧΙΜΗΔΟΥΣ 21</t>
  </si>
  <si>
    <t>5ο  ΔΗΜΟΤΙΚΟ ΣΧΟΛΕΙΟ ΑΛΙΜΟΥ</t>
  </si>
  <si>
    <t>mail@5dim-alimou.att.sch.gr</t>
  </si>
  <si>
    <t>ΕΠΤΑΝΗΣΟΥ 2</t>
  </si>
  <si>
    <t>4ο ΔΗΜΟΤΙΚΟ ΣΧΟΛΕΙΟ ΜΟΣΧΑΤΟΥ</t>
  </si>
  <si>
    <t>mail@4dim-mosch.att.sch.gr</t>
  </si>
  <si>
    <t>ΧΕΙΜΑΡΑΣ ΚΑΙ ΠΛΑΤΩΝΟΣ</t>
  </si>
  <si>
    <t>10ο ΝΗΠΙΑΓΩΓΕΙΟ ΑΛΙΜΟΥ</t>
  </si>
  <si>
    <t>mail@10nip-alimou.att.sch.gr</t>
  </si>
  <si>
    <t>ΝΙΚ. ΒΡΕΤΑΚΟΥ 21</t>
  </si>
  <si>
    <t>13ο ΔΗΜΟΤΙΚΟ ΣΧΟΛΕΙΟ ΠΑΛΑΙΟΥ ΦΑΛΗΡΟΥ</t>
  </si>
  <si>
    <t>mail@13dim-p-falir.att.sch.gr</t>
  </si>
  <si>
    <t>ΣΩΚΡΑΤΟΥΣ  ΚΑΙ  ΚΟΥΝΤΟΥΡΙΩΤΟΥ</t>
  </si>
  <si>
    <t>6ο ΔΗΜΟΤΙΚΟ ΣΧΟΛΕΙΟ ΠΑΛΑΙΟΥ ΦΑΛΗΡΟΥ</t>
  </si>
  <si>
    <t>mail@6dim-p-falir.att.sch.gr</t>
  </si>
  <si>
    <t>ΑΡΜΑΤΟΛΩΝ 9</t>
  </si>
  <si>
    <t>12ο ΔΗΜΟΤΙΚΟ ΣΧΟΛΕΙΟ ΚΑΛΛΙΘΕΑΣ</t>
  </si>
  <si>
    <t>mail@12dim-kallith.att.sch.gr</t>
  </si>
  <si>
    <t>ΛΥΚΟΥΡΓΟΥ 268</t>
  </si>
  <si>
    <t>10ο  ΝΗΠΙΑΓΩΓΕΙΟ ΠΑΛΑΙΟΥ ΦΑΛΗΡΟΥ</t>
  </si>
  <si>
    <t>mail@10nip-p-falir.att.sch.gr</t>
  </si>
  <si>
    <t>ΕΘΕΛΟΝΤΩΝ 33</t>
  </si>
  <si>
    <t>1ο ΝΗΠΙΑΓΩΓΕΙΟ ΑΓΙΟΥ ΔΗΜΗΤΡΙΟΥ</t>
  </si>
  <si>
    <t>mail@1nip-ag-dimitr.att.sch.gr</t>
  </si>
  <si>
    <t>ΑΡΣΙΝΟΗΣ 20</t>
  </si>
  <si>
    <t>13ο ΔΗΜΟΤΙΚΟ ΣΧΟΛΕΙΟ ΑΓΙΟΥ ΔΗΜΗΤΡΙΟΥ</t>
  </si>
  <si>
    <t>mail@13dim-ag-dimitr.att.sch.gr</t>
  </si>
  <si>
    <t>ΑΡΓΟΣΤΟΛΙΟΥ 118</t>
  </si>
  <si>
    <t>21ο ΔΗΜΟΤΙΚΟ ΣΧΟΛΕΙΟ ΑΓΙΟΥ ΔΗΜΗΤΡΙΟΥ</t>
  </si>
  <si>
    <t>mail@21dim-ag-dimitr.att.sch.gr</t>
  </si>
  <si>
    <t>8ο ΔΗΜΟΤΙΚΟ ΣΧΟΛΕΙΟ ΑΓΙΟΥ ΔΗΜΗΤΡΙΟΥ</t>
  </si>
  <si>
    <t>mail@8dim-ag-dimitr.att.sch.gr</t>
  </si>
  <si>
    <t>ΡΟΜΠΕΡΤ ΚΕΝΕΝΤΥ 30</t>
  </si>
  <si>
    <t>3ο ΝΗΠΙΑΓΩΓΕΙΟ ΠΑΛΑΙΟΥ ΦΑΛΗΡΟΥ</t>
  </si>
  <si>
    <t>mail@3nip-p-falir.att.sch.gr</t>
  </si>
  <si>
    <t>ΚΑΝΑΡΗ 25</t>
  </si>
  <si>
    <t>10ο ΝΗΠΙΑΓΩΓΕΙΟ ΝΕΑΣ ΣΜΥΡΝΗΣ</t>
  </si>
  <si>
    <t>mail@10nip-n-smyrnis.att.sch.gr</t>
  </si>
  <si>
    <t>ΠΡ.ΑΙΔΙΝΙΟΥ ΚΑΙ ΑΓ.ΣΟΦΙΑΣ 19</t>
  </si>
  <si>
    <t>4ο ΝΗΠΙΑΓΩΓΕΙΟ ΝΕΑΣ ΣΜΥΡΝΗΣ</t>
  </si>
  <si>
    <t>mail@4nip-n-smyrn.att.sch.gr</t>
  </si>
  <si>
    <t>ΕΥΞΕΙΝΟΥ ΠΟΝΤΟΥ 171</t>
  </si>
  <si>
    <t>2ο ΔΗΜΟΤΙΚΟ ΣΧΟΛΕΙΟ ΝΕΑΣ ΣΜΥΡΝΗΣ</t>
  </si>
  <si>
    <t>mail@2dim-n-smyrn.att.sch.gr</t>
  </si>
  <si>
    <t>ΒΟΣΠΟΡΟΥ 78</t>
  </si>
  <si>
    <t>10ο  ΔΗΜΟΤΙΚΟ ΣΧΟΛΕΙΟ ΓΛΥΦΑΔΑΣ</t>
  </si>
  <si>
    <t>mail@10dim-glyfad.att.sch.gr</t>
  </si>
  <si>
    <t>ΚΕΦΑΛΛΗΝΙΑΣ ΚΑΙ ΦΟΛΕΓΑΝΔΡΟΥ</t>
  </si>
  <si>
    <t>10ο ΔΗΜΟΤΙΚΟ ΣΧΟΛΕΙΟ ΑΓΙΟΥ ΔΗΜΗΤΡΙΟΥ</t>
  </si>
  <si>
    <t>mail@10dim-ag-dimitr.att.sch.gr</t>
  </si>
  <si>
    <t>ΕΘΝΟΜΑΡΤΥΡΩΝ ΚΑΙ ΤΡΑΚΑΔΑ 1</t>
  </si>
  <si>
    <t>2ο  ΝΗΠΙΑΓΩΓΕΙΟ ΑΛΙΜΟΥ</t>
  </si>
  <si>
    <t>mail@2nip-alimou.att.sch.gr</t>
  </si>
  <si>
    <t>ΘΕΣΣΑΛΙΑΣ 25</t>
  </si>
  <si>
    <t>1ο ΔΗΜΟΤΙΚΟ ΣΧΟΛΕΙΟ ΑΡΓΥΡΟΥΠΟΛΗΣ</t>
  </si>
  <si>
    <t>mail@1dim-argyr.att.sch.gr</t>
  </si>
  <si>
    <t>ΕΛ.ΒΕΝΙΖΕΛΟΥ 13</t>
  </si>
  <si>
    <t>8ο ΔΗΜΟΤΙΚΟ ΣΧΟΛΕΙΟ ΑΡΓΥΡΟΥΠΟΛΗΣ</t>
  </si>
  <si>
    <t>mail@8dim-argyr.att.sch.gr</t>
  </si>
  <si>
    <t>ΑΡΓΥΡΟΥΠΟΛΕΩΣ 53</t>
  </si>
  <si>
    <t>9ο ΝΗΠΙΑΓΩΓΕΙΟ ΑΛΙΜΟΥ</t>
  </si>
  <si>
    <t>mail@9nip-alimou.att.sch.gr</t>
  </si>
  <si>
    <t>ΣΠΑΡΤΗΣ 19</t>
  </si>
  <si>
    <t>15ο  ΔΗΜΟΤΙΚΟ ΣΧΟΛΕΙΟ ΑΓΙΟΥ ΔΗΜΗΤΡΙΟΥ</t>
  </si>
  <si>
    <t>mail@15dim-ag-dimitr.att.sch.gr</t>
  </si>
  <si>
    <t>ΑΣΥΡΜΑΤΟΥ 146</t>
  </si>
  <si>
    <t>1ο ΔΗΜΟΤΙΚΟ ΣΧΟΛΕΙΟ ΤΑΥΡΟΥ</t>
  </si>
  <si>
    <t>mail@1dim-tavrou.att.sch.gr</t>
  </si>
  <si>
    <t>ΝΑΖΛΗ ΚΑΙ ΣΜΥΡΝΗΣ</t>
  </si>
  <si>
    <t>3ο ΔΗΜΟΤΙΚΟ ΣΧΟΛΕΙΟ ΜΟΣΧΑΤΟΥ</t>
  </si>
  <si>
    <t>mail@3dim-mosch.att.sch.gr</t>
  </si>
  <si>
    <t>ΠΙΝΔΟΥ ΚΑΙ ΘΕΡΜΟΠΥΛΩΝ 8</t>
  </si>
  <si>
    <t>20ο  ΔΗΜΟΤΙΚΟ ΣΧΟΛΕΙΟ ΚΑΛΛΙΘΕΑΣ- ΕΥΑΓΓΕΛΟΣ ΓΕΩΡΓΗΣ</t>
  </si>
  <si>
    <t>mail@20dim-kallith.att.sch.gr</t>
  </si>
  <si>
    <t>ΜΕΓΑΛΟΥΠΟΛΕΩΣ 19</t>
  </si>
  <si>
    <t>9ο  ΝΗΠΙΑΓΩΓΕΙΟ ΠΑΛΑΙΟΥ ΦΑΛΗΡΟΥ</t>
  </si>
  <si>
    <t>mail@9nip-p-falir.att.sch.gr</t>
  </si>
  <si>
    <t>ΟΡΦΕΩΣ 72</t>
  </si>
  <si>
    <t>1ο ΝΗΠΙΑΓΩΓΕΙΟ ΓΛΥΦΑΔΑΣ</t>
  </si>
  <si>
    <t>mail@1nip-glyfad.att.sch.gr</t>
  </si>
  <si>
    <t>Αγίου Νεκταρίου  έναντι 88-90  κι Ευξείνου Πόντου</t>
  </si>
  <si>
    <t>5ο  ΝΗΠΙΑΓΩΓΕΙΟ ΤΑΥΡΟΥ</t>
  </si>
  <si>
    <t>mail@5nip-tavrou.att.sch.gr</t>
  </si>
  <si>
    <t>ΤΑΥΡΟΥ</t>
  </si>
  <si>
    <t>ΠΑΤΡΙΑΡΧΟΥ ΙΩΑΚΕΙΜ ΚΑΙ ΠΕΙΡΑΙΩΣ</t>
  </si>
  <si>
    <t>6ο ΔΗΜΟΤΙΚΟ ΣΧΟΛΕΙΟ ΓΛΥΦΑΔΑΣ</t>
  </si>
  <si>
    <t>mail@6dim-glyfad.att.sch.gr</t>
  </si>
  <si>
    <t>Γλυφάδα</t>
  </si>
  <si>
    <t>Μικράς Ασίας 93</t>
  </si>
  <si>
    <t>15ο ΝΗΠΙΑΓΩΓΕΙΟ ΑΓΙΟΥ ΔΗΜΗΤΡΊΟΥ</t>
  </si>
  <si>
    <t>mail@15nip-ag-dimitr.att.sch.gr</t>
  </si>
  <si>
    <t>ΠΟΛΥΝΕΙΚΟΥΣ ΚΑΙ ΑΡΚΑΔΙΑΣ</t>
  </si>
  <si>
    <t>7ο ΝΗΠΙΑΓΩΓΕΙΟ ΑΛΙΜΟΥ</t>
  </si>
  <si>
    <t>mail@7nip-alimou.att.sch.gr</t>
  </si>
  <si>
    <t>ΝΙΚΗΣ ΚΑΙ ΣΟΛΩΝΟΣ 13</t>
  </si>
  <si>
    <t>11ο ΝΗΠΙΑΓΩΓΕΙΟ ΑΓΙΟΥ ΔΗΜΗΤΡΙΟΥ</t>
  </si>
  <si>
    <t>mail@11nip-ag-dimitr.att.sch.gr</t>
  </si>
  <si>
    <t>ΘΑΛΕΙΑΣ 14</t>
  </si>
  <si>
    <t>4ο ΝΗΠΙΑΓΩΓΕΙΟ ΠΑΛΑΙΟΥ ΦΑΛΗΡΟΥ</t>
  </si>
  <si>
    <t>mail@4nip-p-falir.att.sch.gr</t>
  </si>
  <si>
    <t>3ο ΔΗΜΟΤΙΚΟ ΣΧΟΛΕΙΟ ΠΑΛΑΙΟΥ ΦΑΛΗΡΟΥ</t>
  </si>
  <si>
    <t>mail@3dim-p-falir.att.sch.gr</t>
  </si>
  <si>
    <t>ΠΑΡΘΕΝΩΝΟΣ 36</t>
  </si>
  <si>
    <t>6ο ΝΗΠΙΑΓΩΓΕΙΟ ΑΡΓΥΡΟΥΠΟΛΗΣ</t>
  </si>
  <si>
    <t>mail@6nip-argyr.att.sch.gr</t>
  </si>
  <si>
    <t>ΑΡΓΟΝΑΥΤΩΝ 14 ΚΑΙ ΚΥΘΗΡΩΝ</t>
  </si>
  <si>
    <t>10ο ΝΗΠΙΑΓΩΓΕΙΟ ΑΓΙΟΥ  ΔΗΜΗΤΡΙΟΥ</t>
  </si>
  <si>
    <t>mail@10nip-ag-dimitr.att.sch.gr</t>
  </si>
  <si>
    <t>ΑΓΙΟΥ ΔΗΜΗΤΡΙΟΥ 186</t>
  </si>
  <si>
    <t>15ο ΔΗΜΟΤΙΚΟ ΣΧΟΛΕΙΟ ΚΑΛΛΙΘΕΑΣ - ΜΕΛΙΝΑ ΜΕΡΚΟΥΡΗ</t>
  </si>
  <si>
    <t>mail@15dim-kallith.att.sch.gr</t>
  </si>
  <si>
    <t>ΣΠΑΡΤΗΣ 19 ΚΑΙ ΣΩΚΡΑΤΟΥΣ</t>
  </si>
  <si>
    <t>1ο ΔΗΜΟΤΙΚΟ ΣΧΟΛΕΙΟ ΠΑΛΑΙΟΥ ΦΑΛΗΡΟΥ - ΑΠΟΣΤΟΛΟΣ ΣΑΝΤΑΣ</t>
  </si>
  <si>
    <t>mail@1dim-p-falir.att.sch.gr</t>
  </si>
  <si>
    <t>ΝΑΪΑΔΩΝ 37</t>
  </si>
  <si>
    <t>9ο ΔΗΜΟΤΙΚΟ ΣΧΟΛΕΙΟ ΚΑΛΛΙΘΕΑΣ</t>
  </si>
  <si>
    <t>mail@9dim-kallith.att.sch.gr</t>
  </si>
  <si>
    <t>ΣΑΠΦΟΥΣ 138</t>
  </si>
  <si>
    <t>2ο ΔΗΜΟΤΙΚΟ ΣΧΟΛΕΙΟ ΑΓΙΟΥ ΔΗΜΗΤΡΙΟΥ</t>
  </si>
  <si>
    <t>mail@2dim-ag-dimitr.att.sch.gr</t>
  </si>
  <si>
    <t>ΤΕΡΨΙΧΟΡΗΣ 6 ΚΑΙ ΑΝ.ΠΑΠΑΝΔΡΕΟΥ</t>
  </si>
  <si>
    <t>8ο  ΔΗΜΟΤΙΚΟ ΣΧΟΛΕΙΟ ΠΑΛΑΙΟΥ ΦΑΛΗΡΟΥ "ΑΛΚΗ ΖΕΗ"</t>
  </si>
  <si>
    <t>mail@8dim-p-falir.att.sch.gr</t>
  </si>
  <si>
    <t>ΤΕΡΨΙΘΕΑΣ 35</t>
  </si>
  <si>
    <t>5ο ΔΗΜΟΤΙΚΟ ΣΧΟΛΕΙΟ ΝΕΑΣ ΣΜΥΡΝΗΣ</t>
  </si>
  <si>
    <t>mail@5dim-n-smyrn.att.sch.gr</t>
  </si>
  <si>
    <t>ΕΥΞ.ΠΟΝΤΟΥ 171</t>
  </si>
  <si>
    <t>9ο  ΝΗΠΙΑΓΩΓΕΙΟ ΝΕΑΣ ΣΜΥΡΝΗΣ</t>
  </si>
  <si>
    <t>mail@9nip-n-smyrn.att.sch.gr</t>
  </si>
  <si>
    <t>3ο ΔΗΜΟΤΙΚΟ ΣΧΟΛΕΙΟ ΓΛΥΦΑΔΑΣ</t>
  </si>
  <si>
    <t>mail@3dim-glyfad.att.sch.gr</t>
  </si>
  <si>
    <t>ΠΑΛΜΥΡΑΣ 42</t>
  </si>
  <si>
    <t>12ο ΝΗΠΙΑΓΩΓΕΙΟ ΠΑΛΑΙΟΥ ΦΑΛΗΡΟΥ</t>
  </si>
  <si>
    <t>mail@12nip-p-falir.att.sch.gr</t>
  </si>
  <si>
    <t>4ο  ΔΗΜΟΤΙΚΟ ΣΧΟΛΕΙΟ ΕΛΛΗΝΙΚΟΥ</t>
  </si>
  <si>
    <t>mail@4dim-ellin.att.sch.gr</t>
  </si>
  <si>
    <t>ΑΦΡΟΔΙΤΗΣ 47</t>
  </si>
  <si>
    <t>4ο ΔΗΜΟΤΙΚΟ ΣΧΟΛΕΙΟ ΤΑΥΡΟΥ</t>
  </si>
  <si>
    <t>mail@4dim-tavrou.att.sch.gr</t>
  </si>
  <si>
    <t>ΤΣΑΚΑΛΩΦ 9</t>
  </si>
  <si>
    <t>3ο ΔΗΜΟΤΙΚΟ ΣΧΟΛΕΙΟ ΝΕΑΣ ΣΜΥΡΝΗΣ</t>
  </si>
  <si>
    <t>mail@3dim-n-smyrn.att.sch.gr</t>
  </si>
  <si>
    <t>ΑΙΓΑΙΟΥ ΚΑΙ ΑΡΤΑΚΗΣ</t>
  </si>
  <si>
    <t>14ο  ΝΗΠΙΑΓΩΓΕΙΟ ΑΓΙΟΥ ΔΗΜΗΤΡΙΟΥ</t>
  </si>
  <si>
    <t>mail@14nip-ag-dimitr.att.sch.gr</t>
  </si>
  <si>
    <t>ΣΟΛΩΝΟΣ ΚΑΙ ΤΡΑΚΑΔΑ</t>
  </si>
  <si>
    <t>3ο ΝΗΠΙΑΓΩΓΕΙΟ ΝΕΑΣ ΣΜΥΡΝΗΣ</t>
  </si>
  <si>
    <t>mail@3nip-n-smyrn.att.sch.gr</t>
  </si>
  <si>
    <t>ΠΕΡΓΑΜΟΥ 4</t>
  </si>
  <si>
    <t>5ο ΝΗΠΙΑΓΩΓΕΙΟ ΑΡΓΥΡΟΥΠΟΛΗΣ</t>
  </si>
  <si>
    <t>mail@5nip-argyr.att.sch.gr</t>
  </si>
  <si>
    <t>ΠΛΑΣΤΗΡΑ 4</t>
  </si>
  <si>
    <t>8ο  ΝΗΠΙΑΓΩΓΕΙΟ ΝΕΑΣ ΣΜΥΡΝΗΣ</t>
  </si>
  <si>
    <t>mail@8nip-n-smyrn.att.sch.gr</t>
  </si>
  <si>
    <t>ΚΥΠΡΟΥ ΚΑΙ ΔΩΔΕΚΑΝΗΣΟΥ 2</t>
  </si>
  <si>
    <t>6ο ΔΗΜΟΤΙΚΟ ΣΧΟΛΕΙΟ ΑΓΙΟΥ ΔΗΜΗΤΡΙΟΥ</t>
  </si>
  <si>
    <t>mail@6dim-ag-dimitr.att.sch.gr</t>
  </si>
  <si>
    <t>Αγίου Δημητρίου 186</t>
  </si>
  <si>
    <t>7ο ΝΗΠΙΑΓΩΓΕΙΟ ΑΓΙΟΥ ΔΗΜΗΤΡΙΟΥ</t>
  </si>
  <si>
    <t>mail@7nip-ag-dimitr.att.sch.gr</t>
  </si>
  <si>
    <t>ΜΑΥΡΟΓΕΝΟΥΣ Μ. 1</t>
  </si>
  <si>
    <t>3ο  ΔΗΜΟΤΙΚΟ ΣΧΟΛΕΙΟ ΚΑΛΛΙΘΕΑΣ</t>
  </si>
  <si>
    <t>mail@3dim-kallith.att.sch.gr</t>
  </si>
  <si>
    <t xml:space="preserve">ΚΑΛΛΙΘΕΑ </t>
  </si>
  <si>
    <t>9ο ΝΗΠΙΑΓΩΓΕΙΟ ΑΡΓΥΡΟΥΠΟΛΗΣ</t>
  </si>
  <si>
    <t>mail@9nip-argyr.att.sch.gr</t>
  </si>
  <si>
    <t>ΣΤΕΦΑΝΟΥ ΣΑΡΑΦΗ 30</t>
  </si>
  <si>
    <t>3ο ΔΗΜΟΤΙΚΟ ΣΧΟΛΕΙΟ ΤΑΥΡΟΥ</t>
  </si>
  <si>
    <t>mail@3dim-tavrou.att.sch.gr</t>
  </si>
  <si>
    <t>ΚΛΕΙΟΥΣ ΚΑΙ ΧΡ.ΣΜΥΡΝΗΣ</t>
  </si>
  <si>
    <t>3ο ΝΗΠΙΑΓΩΓΕΙΟ ΕΛΛΗΝΙΚΟΥ</t>
  </si>
  <si>
    <t>mail@3nip-ellin.att.sch.gr</t>
  </si>
  <si>
    <t>ΑΛΕΞ.ΠΑΝΑΓΟΥΛΗ 15</t>
  </si>
  <si>
    <t>7ο  ΝΗΠΙΑΓΩΓΕΙΟ ΝΕΑΣ  ΣΜΥΡΝΗΣ</t>
  </si>
  <si>
    <t>mail@7nip-n-smyrn.att.sch.gr</t>
  </si>
  <si>
    <t>2ο ΔΗΜΟΤΙΚΟ ΣΧΟΛΕΙΟ ΑΛΙΜΟΥ - ΕΛΕΥΘΕΡΙΟΣ ΒΕΝΙΖΕΛΟΣ</t>
  </si>
  <si>
    <t>mail@2dim-alimou.att.sch.gr</t>
  </si>
  <si>
    <t>Άλιμος</t>
  </si>
  <si>
    <t>ΕΛ.ΒΕΝΙΖΕΛΟΥ 4</t>
  </si>
  <si>
    <t>1ο  ΔΗΜΟΤΙΚΟ ΣΧΟΛΕΙΟ ΓΛΥΦΑΔΑΣ</t>
  </si>
  <si>
    <t>mail@1dim-glyfad.att.sch.gr</t>
  </si>
  <si>
    <t>ΓΙΑΝΝΙΤΣΟΠΟΥΛΟΥ 12</t>
  </si>
  <si>
    <t>6ο ΝΗΠΙΑΓΩΓΕΙΟ ΠΑΛΑΙΟΥ ΦΑΛΗΡΟΥ</t>
  </si>
  <si>
    <t>mail@6nip-p-falir.att.sch.gr</t>
  </si>
  <si>
    <t>ΤΕΡΨΙΘΕΑΣ 41</t>
  </si>
  <si>
    <t>8ο ΝΗΠΙΑΓΩΓΕΙΟ ΠΑΛΑΙΟΥ ΦΑΛΗΡΟΥ</t>
  </si>
  <si>
    <t>mail@8nip-p-falir.att.sch.gr</t>
  </si>
  <si>
    <t>ΙΩΑΝΝΟΥ ΦΙΞ 10</t>
  </si>
  <si>
    <t>3ο  ΝΗΠΙΑΓΩΓΕΙΟ ΓΛΥΦΑΔΑΣ</t>
  </si>
  <si>
    <t>mail@3nip-glyfad.att.sch.gr</t>
  </si>
  <si>
    <t>ΛΑΟΔΙΚΗΣ ΚΑΙ Φ.ΕΤΑΙΡΕΙΑΣ</t>
  </si>
  <si>
    <t>12ο  ΝΗΠΙΑΓΩΓΕΙΟ ΓΛΥΦΑΔΑΣ</t>
  </si>
  <si>
    <t>mail@12nip-glyfad.att.sch.gr</t>
  </si>
  <si>
    <t>ΘΡΑΚΗΣ 1</t>
  </si>
  <si>
    <t>13ο ΝΗΠΙΑΓΩΓΕΙΟ ΑΓΙΟΥ ΔΗΜΗΤΡΙΟΥ</t>
  </si>
  <si>
    <t>mail@13nip-ag-dimitr.att.sch.gr</t>
  </si>
  <si>
    <t>ΤΣΙΤΣΑΝΗ ΚΑΙ ΛΗΜΝΟΥ 24</t>
  </si>
  <si>
    <t>3ο ΝΗΠΙΑΓΩΓΕΙΟ ΑΡΓΥΡΟΥΠΟΛΗΣ</t>
  </si>
  <si>
    <t>mail@3nip-argyr.att.sch.gr</t>
  </si>
  <si>
    <t>ΚΥΚΛΑΔΩΝ 3</t>
  </si>
  <si>
    <t>9ο ΝΗΠΙΑΓΩΓΕΙΟ ΑΓΙΟΥ ΔΗΜΗΤΡΙΟΥ</t>
  </si>
  <si>
    <t>mail@9nip-ag-dimitr.att.sch.gr</t>
  </si>
  <si>
    <t>ΔΩΡΙΕΩΝ &amp; ΜΑΚΡΥΓΙΑΝΝΗ</t>
  </si>
  <si>
    <t>16ο ΝΗΠΙΑΓΩΓΕΙΟ ΑΓΙΟΥ ΔΗΜΗΤΡΙΟΥ</t>
  </si>
  <si>
    <t>mail@16nip-ag-dimitr.att.sch.gr</t>
  </si>
  <si>
    <t>ΜΟΝΕΜΒΑΣΙΑΣ ΚΑΙ ΤΣΙΤΣΑΝΗ 5</t>
  </si>
  <si>
    <t>1ο ΔΗΜΟΤΙΚΟ ΣΧΟΛΕΙΟ ΑΛΙΜΟΥ</t>
  </si>
  <si>
    <t>mail@1dim-alimou.att.sch.gr</t>
  </si>
  <si>
    <t>ΦΑΝ ΒΑΪΚ 2</t>
  </si>
  <si>
    <t>2ο ΝΗΠΙΑΓΩΓΕΙΟ ΝΕΑΣ ΣΜΥΡΝΗΣ</t>
  </si>
  <si>
    <t>mail@2nip-n-smyrn.att.sch.gr</t>
  </si>
  <si>
    <t>ΑΓ. ΣΑΡΑΝΤΑ ΚΑΙ  ΕΥΞ. ΠΟΝΤΟΥ</t>
  </si>
  <si>
    <t>13ο  ΔΗΜΟΤΙΚΟ ΣΧΟΛΕΙΟ ΝΕΑΣ ΣΜΥΡΝΗΣ-ΔΙΔΩ ΣΩΤΗΡΙΟΥ</t>
  </si>
  <si>
    <t>mail@13dim-n-smyrn.att.sch.gr</t>
  </si>
  <si>
    <t>ΑΡΤΑΚΗΣ ΚΑΙ ΑΙΓΑΙΟΥ</t>
  </si>
  <si>
    <t>5ο ΝΗΠΙΑΓΩΓΕΙΟ ΑΓΙΟΥ ΔΗΜΗΤΡΙΟΥ</t>
  </si>
  <si>
    <t>mail@5nip-ag-dimitr.att.sch.gr</t>
  </si>
  <si>
    <t>2ο ΔΗΜΟΤΙΚΟ ΣΧΟΛΕΙΟ ΓΛΥΦΑΔΑΣ</t>
  </si>
  <si>
    <t>mail@2dim-glyfad.att.sch.gr</t>
  </si>
  <si>
    <t>ΕΛ.ΒΕΝΙΖΕΛΟΥ ΚΑΙ ΑΪΔΙΝΙΟΥ</t>
  </si>
  <si>
    <t>3ο ΝΗΠΙΑΓΩΓΕΙΟ ΑΓΙΟΥ ΔΗΜΗΤΡΙΟΥ</t>
  </si>
  <si>
    <t>mail@3nip-ag-dimitr.att.sch.gr</t>
  </si>
  <si>
    <t>ΚΑΛΛΙΦΡΟΝΑ 71</t>
  </si>
  <si>
    <t>4ο ΝΗΠΙΑΓΩΓΕΙΟ ΑΓΙΟΥ ΔΗΜΗΤΡΙΟΥ</t>
  </si>
  <si>
    <t>mail@4nip-ag-dimitr.att.sch.gr</t>
  </si>
  <si>
    <t>ΚΟΛΟΚΟΤΡΩΝΗ ΚΑΙ ΑΓΙΟΥ ΒΑΣΙΛΕΙΟΥ</t>
  </si>
  <si>
    <t>5ο ΝΗΠΙΑΓΩΓΕΙΟ ΓΛΥΦΑΔΑΣ</t>
  </si>
  <si>
    <t>mail@5nip-glyfad.att.sch.gr</t>
  </si>
  <si>
    <t>ΑΡΕΤΗΣ ΚΑΙ ΦΟΛΕΓΑΝΔΡΟΥ</t>
  </si>
  <si>
    <t>5ο  ΔΗΜΟΤΙΚΟ ΣΧΟΛΕΙΟ ΓΛΥΦΑΔΑΣ</t>
  </si>
  <si>
    <t>mail@5dim-glyfad.att.sch.gr</t>
  </si>
  <si>
    <t>ΠΕΛΛΗΣ 67</t>
  </si>
  <si>
    <t>1ο ΔΗΜΟΤΙΚΟ ΣΧΟΛΕΙΟ ΜΟΣΧΑΤΟΥ</t>
  </si>
  <si>
    <t>mail@1dim-mosch.att.sch.gr</t>
  </si>
  <si>
    <t>ΟΜΗΡΟΥ 79</t>
  </si>
  <si>
    <t>6ο   ΝΗΠΙΑΓΩΓΕΙΟ  ΚΑΛΛΙΘΕΑΣ</t>
  </si>
  <si>
    <t>mail@6nip-kallith.att.sch.gr</t>
  </si>
  <si>
    <t>ΓΡΗΓΟΡΙΟΥ Ε Κ ΣΠΕΤΣΩΝ 6</t>
  </si>
  <si>
    <t>12ο ΔΗΜΟΤΙΚΟ ΣΧΟΛΕΙΟ ΝΕΑΣ ΣΜΥΡΝΗΣ</t>
  </si>
  <si>
    <t>mail@12dim-n-smyrn.att.sch.gr</t>
  </si>
  <si>
    <t>ΣΤΡΑΤΗΓΟΥ ΠΑΡΑΣΚΕΥΟΠΟΥΛΟΥ 37</t>
  </si>
  <si>
    <t>6ο ΔΗΜΟΤΙΚΟ ΣΧΟΛΕΙΟ ΜΟΣΧΑΤΟΥ</t>
  </si>
  <si>
    <t>mail@6dim-mosch.att.sch.gr</t>
  </si>
  <si>
    <t>ΑΓ.ΚΩΝΣΤΑΝΤΙΝΟΥ 9 ΚΑΙ ΑΡΑΧΩΒΗΣ</t>
  </si>
  <si>
    <t>5ο ΝΗΠΙΑΓΩΓΕΙΟ ΝΕΑΣ ΣΜΥΡΝΗΣ</t>
  </si>
  <si>
    <t>mail@5nip-n-smyrn.att.sch.gr</t>
  </si>
  <si>
    <t>ΣΤΡΑΤΗΓΟΥ ΒΕΛΙΣΣΑΡΙΟΥ 22</t>
  </si>
  <si>
    <t>3ο ΔΗΜΟΤΙΚΟ ΣΧΟΛΕΙΟ ΑΓΙΟΥ ΔΗΜΗΤΡΙΟΥ</t>
  </si>
  <si>
    <t>mail@3dim-ag-dimitr.att.sch.gr</t>
  </si>
  <si>
    <t>ΜΗΤΡΟΠΕΤΡΟΒΑ 3</t>
  </si>
  <si>
    <t>20ο ΔΗΜΟΤΙΚΟ ΣΧΟΛΕΙΟ ΑΓΙΟΥ ΔΗΜΗΤΡΙΟΥ</t>
  </si>
  <si>
    <t>mail@20dim-ag-dimitr.att.sch.gr</t>
  </si>
  <si>
    <t>ΜΟΥΣΩΝ ΚΑΙ ΓΙΑΝΝΗ ΡΙΤΣΟΥ</t>
  </si>
  <si>
    <t>4ο ΝΗΠΙΑΓΩΓΕΙΟ ΤΑΥΡΟΥ</t>
  </si>
  <si>
    <t>mail@4nip-tavrou.att.sch.gr</t>
  </si>
  <si>
    <t>2ο ΝΗΠΙΑΓΩΓΕΙΟ ΤΑΥΡΟΥ</t>
  </si>
  <si>
    <t>mail@2nip-tavrou.att.sch.gr</t>
  </si>
  <si>
    <t>Λ.ΕΙΡΗΝΗΣ ΚΑΙ ΜΑΚΕΔΟΝΙΑΣ</t>
  </si>
  <si>
    <t>3ο ΝΗΠΙΑΓΩΓΕΙΟ ΤΑΥΡΟΥ</t>
  </si>
  <si>
    <t>mail@3nip-tavrou.att.sch.gr</t>
  </si>
  <si>
    <t>ΚΛΕΙΟΥΣ ΚΑΙ ΧΡΥΣΟΣΤΟΜΟΥ ΣΜΥΡΝΗΣ</t>
  </si>
  <si>
    <t>8ο ΔΗΜΟΤΙΚΟ ΣΧΟΛΕΙΟ ΚΑΛΛΙΘΕΑΣ</t>
  </si>
  <si>
    <t>mail@8dim-kallith.att.sch.gr</t>
  </si>
  <si>
    <t>7ο  ΔΗΜΟΤΙΚΟ ΣΧΟΛΕΙΟ ΑΛΙΜΟΥ - ΜΕΓΑΣ ΑΛΕΞΑΝΔΡΟΣ</t>
  </si>
  <si>
    <t>mail@7dim-alimou.att.sch.gr</t>
  </si>
  <si>
    <t>1ο  ΝΗΠΙΑΓΩΓΕΙΟ ΝΕΑΣ  ΣΜΥΡΝΗΣ</t>
  </si>
  <si>
    <t>mail@1nip-n-smyrn.att.sch.gr</t>
  </si>
  <si>
    <t>ΠΡΙΗΝΗΣ 25</t>
  </si>
  <si>
    <t>6ο ΝΗΠΙΑΓΩΓΕΙΟ ΓΛΥΦΑΔΑΣ</t>
  </si>
  <si>
    <t>mail@6nip-glyfad.att.sch.gr</t>
  </si>
  <si>
    <t>ΠΑΜΒΩΤΙΔΟΣ 40-42</t>
  </si>
  <si>
    <t>12ο  ΝΗΠΙΑΓΩΓΕΙΟ ΑΓΙΟΥ ΔΗΜΗΤΡΙΟΥ</t>
  </si>
  <si>
    <t>mail@12nip-ag-dimitr.att.sch.gr</t>
  </si>
  <si>
    <t>ΝΑΞΟΥ 17</t>
  </si>
  <si>
    <t>9ο ΔΗΜΟΤΙΚΟ ΣΧΟΛΕΙΟ ΑΓΙΟΥ ΔΗΜΗΤΡΙΟΥ</t>
  </si>
  <si>
    <t>mail@9dim-ag-dimitr.att.sch.gr</t>
  </si>
  <si>
    <t>ΔΩΡΙΕΩΝ ΚΑΙ ΚΑΤΣΙΜΠΑ</t>
  </si>
  <si>
    <t>7ο ΔΗΜΟΤΙΚΟ ΣΧΟΛΕΙΟ ΓΛΥΦΑΔΑΣ</t>
  </si>
  <si>
    <t>mail@7dim-glyfad.att.sch.gr</t>
  </si>
  <si>
    <t>ΤΕΜΠΩΝ 37</t>
  </si>
  <si>
    <t>11ο ΔΗΜΟΤΙΚΟ ΣΧΟΛΕΙΟ ΓΛΥΦΑΔΑΣ</t>
  </si>
  <si>
    <t>mail@11dim-glyfad.att.sch.gr</t>
  </si>
  <si>
    <t>ΑΤΤΙΚΗΣ 102 - 104</t>
  </si>
  <si>
    <t>12ο ΔΗΜΟΤΙΚΟ ΣΧΟΛΕΙΟ ΓΛΥΦΑΔΑΣ</t>
  </si>
  <si>
    <t>mail@12dim-glyfad.att.sch.gr</t>
  </si>
  <si>
    <t>ΑΝ.ΡΩΜΥΛΙΑΣ 103</t>
  </si>
  <si>
    <t>13ο ΔΗΜΟΤΙΚΟ ΣΧΟΛΕΙΟ ΓΛΥΦΑΔΑΣ</t>
  </si>
  <si>
    <t>mail@13dim-glyfad.att.sch.gr</t>
  </si>
  <si>
    <t>ΣΟΛΩΝΟΣ 5-7</t>
  </si>
  <si>
    <t>14ο ΔΗΜΟΤΙΚΟ ΣΧΟΛΕΙΟ ΓΛΥΦΑΔΑΣ</t>
  </si>
  <si>
    <t>mail@14dim-glyfad.att.sch.gr</t>
  </si>
  <si>
    <t>ΓΟΥΝΑΡΗ 216 &amp; ΗΦΑΙΣΤΟΥ</t>
  </si>
  <si>
    <t>16ο ΔΗΜΟΤΙΚΟ ΣΧΟΛΕΙΟ ΓΛΥΦΑΔΑΣ</t>
  </si>
  <si>
    <t>mail@16dim-glyfad.att.sch.gr</t>
  </si>
  <si>
    <t>ΔΗΜΗΤΡΙΟΥ ΒΕΡΕΛΛΗ 59</t>
  </si>
  <si>
    <t>1ο ΔΗΜΟΤΙΚΟ ΣΧΟΛΕΙΟ ΕΛΛΗΝΙΚΟΥ</t>
  </si>
  <si>
    <t>mail@1dim-ellin.att.sch.gr</t>
  </si>
  <si>
    <t>ΙΑΣΩΝΙΔΟΥ 52</t>
  </si>
  <si>
    <t>2ο ΔΗΜΟΤΙΚΟ ΣΧΟΛΕΙΟ ΕΛΛΗΝΙΚΟΥ - ΕΙΡΗΝΗ</t>
  </si>
  <si>
    <t>mail@2dim-ellin.att.sch.gr</t>
  </si>
  <si>
    <t>ΤΡΙΑΚΟΣΤΗ ΠΕΜΠΤΗ ΟΔΟΣ</t>
  </si>
  <si>
    <t>3ο ΔΗΜΟΤΙΚΟ ΣΧΟΛΕΙΟ ΕΛΛΗΝΙΚΟΥ</t>
  </si>
  <si>
    <t>mail@3dim-ellin.att.sch.gr</t>
  </si>
  <si>
    <t>ΒΟΣΠΟΡΟΥ 17</t>
  </si>
  <si>
    <t>4ο ΔΗΜΟΤΙΚΟ ΣΧΟΛΕΙΟ ΑΡΓΥΡΟΥΠΟΛΗΣ</t>
  </si>
  <si>
    <t>mail@4dim-argyr.att.sch.gr</t>
  </si>
  <si>
    <t>ΑΡΙΣΤΑΡΧΟΥ 45  37ο  54΄26΄΄Βόρεια ,23ο 45΄29΄΄Ανατολικά</t>
  </si>
  <si>
    <t>6ο ΔΗΜΟΤΙΚΟ ΣΧΟΛΕΙΟ ΑΛΙΜΟΥ</t>
  </si>
  <si>
    <t>mail@6dim-alimou.att.sch.gr</t>
  </si>
  <si>
    <t>Αλαμάνας &amp; Μανδηλαρά</t>
  </si>
  <si>
    <t>9ο ΔΗΜΟΤΙΚΟ ΣΧΟΛΕΙΟ ΑΛΙΜΟΥ</t>
  </si>
  <si>
    <t>mail@9dim-alimou.att.sch.gr</t>
  </si>
  <si>
    <t>ΤΣΟΥΔΕΡΟΥ 29</t>
  </si>
  <si>
    <t>2ο ΔΗΜΟΤΙΚΟ ΣΧΟΛΕΙΟ ΑΡΓΥΡΟΥΠΟΛΗΣ</t>
  </si>
  <si>
    <t>mail@2dim-argyr.att.sch.gr</t>
  </si>
  <si>
    <t>ΟΛΥΜΠΙΑΣ 1</t>
  </si>
  <si>
    <t>3ο ΔΗΜΟΤΙΚΟ ΣΧΟΛΕΙΟ ΑΡΓΥΡΟΥΠΟΛΗΣ</t>
  </si>
  <si>
    <t>mail@3dim-argyr.att.sch.gr</t>
  </si>
  <si>
    <t>Γ.ΛΑΜΠΡΑΚΗ 2</t>
  </si>
  <si>
    <t>9ο ΔΗΜΟΤΙΚΟ ΣΧΟΛΕΙΟ ΓΛΥΦΑΔΑΣ</t>
  </si>
  <si>
    <t>mail@9dim-glyfad.att.sch.gr</t>
  </si>
  <si>
    <t>ΡΗΓΑ ΦΕΡΑΙΟΥ 1</t>
  </si>
  <si>
    <t>3ο ΔΗΜΟΤΙΚΟ ΣΧΟΛΕΙΟ ΑΛΙΜΟΥ - ΛΕΩΝΙΔΑΣ ΚΩΝΣΤΑΝΤΑΡΑΣ</t>
  </si>
  <si>
    <t>mail@3dim-alimou.att.sch.gr</t>
  </si>
  <si>
    <t>ΙΩΝΙΑΣ 172</t>
  </si>
  <si>
    <t>11ο ΔΗΜΟΤΙΚΟ ΣΧΟΛΕΙΟ ΑΡΓΥΡΟΥΠΟΛΗΣ</t>
  </si>
  <si>
    <t>mail@11dim-argyr.att.sch.gr</t>
  </si>
  <si>
    <t>ΗΛΕΚΤΡΟΥΠΟΛΕΩΣ 1</t>
  </si>
  <si>
    <t>8ο ΝΗΠΙΑΓΩΓΕΙΟ ΑΛΙΜΟΥ</t>
  </si>
  <si>
    <t>mail@8nip-alimou.att.sch.gr</t>
  </si>
  <si>
    <t>ΔΗΜΗΤΡΟΣ 17</t>
  </si>
  <si>
    <t>ΠΑΠΑΔΑΚΕΙΟ ΝΗΠΙΑΓΩΓΕΙΟ ΓΛΥΦΑΔΑΣ</t>
  </si>
  <si>
    <t>mail@nip-glyfad.att.sch.gr</t>
  </si>
  <si>
    <t>ΣΤΡΑΤΗ ΠΑΠΑΔΑΚΗ 33</t>
  </si>
  <si>
    <t>1ο ΝΗΠΙΑΓΩΓΕΙΟ ΑΛΙΜΟΥ</t>
  </si>
  <si>
    <t>mail@1nip-alimou.att.sch.gr</t>
  </si>
  <si>
    <t>ΚΑΝΑΡΗ  ΚΑΙ ΑΡΤΕΜΙΔΟΣ 52</t>
  </si>
  <si>
    <t>17ο ΝΗΠΙΑΓΩΓΕΙΟ ΓΛΥΦΑΔΑΣ</t>
  </si>
  <si>
    <t>mail@17nip-glyfad.att.sch.gr</t>
  </si>
  <si>
    <t>Άνω Γλυφάδα</t>
  </si>
  <si>
    <t>Βενεζουέλας 18 &amp; Αγαμέμνονος 10, Άνω Γλυφάδα</t>
  </si>
  <si>
    <t>6ο ΝΗΠΙΑΓΩΓΕΙΟ ΕΛΛΗΝΙΚΟΥ</t>
  </si>
  <si>
    <t>mail@6nip-ellin.att.sch.gr</t>
  </si>
  <si>
    <t>ΕΛΛΗΝΙΚΟΥ</t>
  </si>
  <si>
    <t>ΑΡΓΟΝΑΥΤΩΝ 8</t>
  </si>
  <si>
    <t>1ο ΔΗΜΟΤΙΚΟ ΣΧΟΛΕΙΟ ΚΑΛΛΙΘΕΑΣ</t>
  </si>
  <si>
    <t>mail@1dim-kallith.att.sch.gr</t>
  </si>
  <si>
    <t>ΣΚΡΑ 35</t>
  </si>
  <si>
    <t>18ο ΝΗΠΙΑΓΩΓΕΙΟ ΑΓΙΟΥ ΔΗΜΗΤΡΙΟΥ</t>
  </si>
  <si>
    <t>mail@18nip-ag-dimitr.att.sch.gr</t>
  </si>
  <si>
    <t>ΛΗΜΝΟΥ  24</t>
  </si>
  <si>
    <t>6ο ΝΗΠΙΑΓΩΓΕΙΟ ΜΟΣΧΑΤΟΥ</t>
  </si>
  <si>
    <t>mail@6nip-mosch.att.sch.gr</t>
  </si>
  <si>
    <t>ΘΡΑΚΗΣ 3</t>
  </si>
  <si>
    <t>12ο ΝΗΠΙΑΓΩΓΕΙΟ ΝΕΑΣ ΣΜΥΡΝΗΣ</t>
  </si>
  <si>
    <t>mail@12nip-n-smyrnis.att.sch.gr</t>
  </si>
  <si>
    <t>ΜΗΔΕΙΑΣ 2</t>
  </si>
  <si>
    <t>13ο ΝΗΠΙΑΓΩΓΕΙΟ ΝΕΑΣ ΣΜΥΡΝΗΣ</t>
  </si>
  <si>
    <t>mail@13nip-n-smyrnis.att.sch.gr</t>
  </si>
  <si>
    <t>ΑΓΝΩΣΤΩΝ ΜΑΡΤΥΡΩΝ 88</t>
  </si>
  <si>
    <t>14ο ΝΗΠΙΑΓΩΓΕΙΟ ΝΕΑΣ ΣΜΥΡΝΗΣ</t>
  </si>
  <si>
    <t>mail@14nip-n-smyrnis.att.sch.gr</t>
  </si>
  <si>
    <t>ΕΥΞΕΙΝΟΥ ΠΟΝΤΟΥ &amp; ΜΕΤΑΜΟΡΦΩΣΕΩΣ 41</t>
  </si>
  <si>
    <t>Π.Ε. ΔΥΤΙΚΗΣ ΑΤΤΙΚΗΣ</t>
  </si>
  <si>
    <t>3ο ΔΗΜΟΤΙΚΟ ΣΧΟΛΕΙΟ ΜΑΓΟΥΛΑΣ</t>
  </si>
  <si>
    <t>mail@3dim-magoul.att.sch.gr</t>
  </si>
  <si>
    <t>ΕΛΕΥΣΙΝΑΣ</t>
  </si>
  <si>
    <t>ΜΑΓΟΥΛΑ</t>
  </si>
  <si>
    <t>ΑΝΑΣΤΑΣΕΩΣ 16</t>
  </si>
  <si>
    <t>9ο ΝΗΠΙΑΓΩΓΕΙΟ ΕΛΕΥΣΙΝΑΣ</t>
  </si>
  <si>
    <t>mail@9nip-elefs.att.sch.gr</t>
  </si>
  <si>
    <t>ΑΓΓ.ΣΙΚΕΛΙΑΝΟΥ 2</t>
  </si>
  <si>
    <t>6ο ΔΗΜΟΤΙΚΟ ΣΧΟΛΕΙΟ ΜΕΓΑΡΩΝ</t>
  </si>
  <si>
    <t>mail@6dim-megar.att.sch.gr</t>
  </si>
  <si>
    <t>ΜΕΓΑΡΕΩΝ</t>
  </si>
  <si>
    <t>ΜΕΓΑΡΑ</t>
  </si>
  <si>
    <t>ΑΓΙΟΣ ΙΩΑΝΝΗΣ ΧΟΡΕΥΤΑΡΑΣ (ΓΑΛΙΛΑΙΟΣ)</t>
  </si>
  <si>
    <t>8ο ΔΗΜΟΤΙΚΟ ΣΧΟΛΕΙΟ ΜΕΓΑΡΩΝ</t>
  </si>
  <si>
    <t>mail@8dim-megar.att.sch.gr</t>
  </si>
  <si>
    <t>Μέγαρα</t>
  </si>
  <si>
    <t>ΑΝΤΙΤΟΡΠΙΛΙΚΟΥ ΨΑΡΑ</t>
  </si>
  <si>
    <t>4ο ΔΗΜΟΤΙΚΟ ΣΧΟΛΕΙΟ ΜΑΝΔΡΑΣ</t>
  </si>
  <si>
    <t>mail@4dim-mandr.att.sch.gr</t>
  </si>
  <si>
    <t>ΜΑΝΔΡΑΣ - ΕΙΔΥΛΛΙΑΣ</t>
  </si>
  <si>
    <t>ΜΑΝΔΡΑ</t>
  </si>
  <si>
    <t>ΣΥΝΟΙΚΙΑ ΠΑΠΑΚΩΣΤΑ 62</t>
  </si>
  <si>
    <t>9ο ΔΗΜΟΤΙΚΟ ΣΧΟΛΕΙΟ ΑΣΠΡΟΠΥΡΓΟΥ</t>
  </si>
  <si>
    <t>mail@9dim-asprop.att.sch.gr</t>
  </si>
  <si>
    <t>ΑΣΠΡΟΠΥΡΓΟΥ</t>
  </si>
  <si>
    <t>ΑΣΠΡΟΠΥΡΓΟΣ</t>
  </si>
  <si>
    <t>ΣΥΝΟΙΚΙΣΜΟΣ ΓΚΟΡΥΤΣΑΣ</t>
  </si>
  <si>
    <t>3ο ΔΗΜΟΤΙΚΟ ΣΧΟΛΕΙΟ ΜΕΓΑΡΩΝ</t>
  </si>
  <si>
    <t>mail@3dim-megar.att.sch.gr</t>
  </si>
  <si>
    <t>ΜΑΡΑΘΩΝΟΣ 1</t>
  </si>
  <si>
    <t>6ο ΝΗΠΙΑΓΩΓΕΙΟ ΑΝΩ ΛΙΟΣΙΩΝ</t>
  </si>
  <si>
    <t>mail@6nip-an-liosion.att.sch.gr</t>
  </si>
  <si>
    <t>ΦΥΛΗΣ</t>
  </si>
  <si>
    <t>ΑΝΩ ΛΙΟΣΙΑ</t>
  </si>
  <si>
    <t>ΑΜΒΡΑΚΙΚΟΥ 25</t>
  </si>
  <si>
    <t>2ο ΔΗΜΟΤΙΚΟ ΣΧΟΛΕΙΟ ΑΣΠΡΟΠΥΡΓΟΥ</t>
  </si>
  <si>
    <t>mail@2dim-asprop.att.sch.gr</t>
  </si>
  <si>
    <t>ΤΕΡΜΑ ΘΕΜΙΣΤΟΚΛΕΟΥΣ</t>
  </si>
  <si>
    <t>5ο ΝΗΠΙΑΓΩΓΕΙΟ ΑΝΩ ΛΙΟΣΙΩΝ</t>
  </si>
  <si>
    <t>mail@5nip-an-liosion.att.sch.gr</t>
  </si>
  <si>
    <t>ΑΝΩ ΛΙΟΣΙΩΝ</t>
  </si>
  <si>
    <t>ΚΡΙΝΩΝ 2</t>
  </si>
  <si>
    <t>9ο ΝΗΠΙΑΓΩΓΕΙΟ ΑΝΩ ΛΙΟΣΙΩΝ</t>
  </si>
  <si>
    <t>mail@9nip-an-liosion.att.sch.gr</t>
  </si>
  <si>
    <t>ΗΡΑΚΛΕΙΟΥ 41</t>
  </si>
  <si>
    <t>3ο ΔΗΜΟΤΙΚΟ ΣΧΟΛΕΙΟ ΝΕΑΣ ΠΕΡΑΜΟΥ</t>
  </si>
  <si>
    <t>mail@3dim-n-peram.att.sch.gr</t>
  </si>
  <si>
    <t xml:space="preserve">Νέα Πέραμος </t>
  </si>
  <si>
    <t>Ι.  ΚΑΡΑΓΙΩΡΓΗ 1</t>
  </si>
  <si>
    <t>1ο ΝΗΠΙΑΓΩΓΕΙΟ ΑΝΩ ΛΙΟΣΙΩΝ</t>
  </si>
  <si>
    <t>mail@1nip-an-liosion.att.sch.gr</t>
  </si>
  <si>
    <t>ΟΡΘΟΔΟΞΙΑΣ</t>
  </si>
  <si>
    <t>4ο ΔΗΜΟΤΙΚΟ ΣΧΟΛΕΙΟ ΑΣΠΡΟΠΥΡΓΟΥ</t>
  </si>
  <si>
    <t>mail@4dim-asprop.att.sch.gr</t>
  </si>
  <si>
    <t>ΚΡΙΕΖΗ 49</t>
  </si>
  <si>
    <t>9ο ΔΗΜΟΤΙΚΟ ΣΧΟΛΕΙΟ ΜΕΓΑΡΩΝ</t>
  </si>
  <si>
    <t>mail@9dim-megar.att.sch.gr</t>
  </si>
  <si>
    <t>ΕΥΚΛΕΙΔΟΥ - ΕΞΩ ΒΡΥΣΗ</t>
  </si>
  <si>
    <t>2ο ΝΗΠΙΑΓΩΓΕΙΟ ΑΝΩ ΛΙΟΣΙΩΝ</t>
  </si>
  <si>
    <t>mail@2nip-an-liosion.att.sch.gr</t>
  </si>
  <si>
    <t>βολανάκη 14 και Θεοφίλου 5</t>
  </si>
  <si>
    <t>5ο ΔΗΜΟΤΙΚΟ ΣΧΟΛΕΙΟ ΜΑΝΔΡΑΣ</t>
  </si>
  <si>
    <t>mail@5dim-mandr.att.sch.gr</t>
  </si>
  <si>
    <t>Δήλου &amp; Κοροπούλη</t>
  </si>
  <si>
    <t>11ο ΔΗΜΟΤΙΚΟ ΣΧΟΛΕΙΟ ΕΛΕΥΣΙΝΑΣ</t>
  </si>
  <si>
    <t>mail@11dim-elefs.att.sch.gr</t>
  </si>
  <si>
    <t>ΕΛΕΥΣΙΝΑ</t>
  </si>
  <si>
    <t>ΕΘΝΙΚΗΣ ΑΝΤΙΣΤΑΣΕΩΣ &amp; ΤΣΟΚΑΝΗ</t>
  </si>
  <si>
    <t>3ο ΝΗΠΙΑΓΩΓΕΙΟ ΑΝΩ ΛΙΟΣΙΩΝ</t>
  </si>
  <si>
    <t>mail@3nip-an-liosion.att.sch.gr</t>
  </si>
  <si>
    <t>ΑΜΒΡΑΚΙΚΟΥ 27</t>
  </si>
  <si>
    <t>7ο ΝΗΠΙΑΓΩΓΕΙΟ ΆΝΩ ΛΙΟΣΙΩΝ</t>
  </si>
  <si>
    <t>mail@7nip-an-liosion.att.sch.gr</t>
  </si>
  <si>
    <t>ΕΙΚΟΣΤΗΣ ΟΓΔΟΗΣ ΟΚΤΩΒΡΙΟΥ 51</t>
  </si>
  <si>
    <t>6ο ΝΗΠΙΑΓΩΓΕΙΟ ΕΛΕΥΣΙΝΑΣ</t>
  </si>
  <si>
    <t>mail@6nip-elefs.att.sch.gr</t>
  </si>
  <si>
    <t>ΣΟΥΛΙΟΥ 29</t>
  </si>
  <si>
    <t>3ο ΔΗΜΟΤΙΚΟ ΣΧΟΛΕΙΟ ΑΣΠΡΟΠΥΡΓΟΥ</t>
  </si>
  <si>
    <t>mail@3dim-asprop.att.sch.gr</t>
  </si>
  <si>
    <t>Ασπρόπυργος</t>
  </si>
  <si>
    <t>Τέρμα Αθανασίου Τσίγκου, Θέση Γερμανικά</t>
  </si>
  <si>
    <t>3ο ΝΗΠΙΑΓΩΓΕΙΟ ΖΕΦΥΡΙΟΥ</t>
  </si>
  <si>
    <t>mail@3nip-zefyr.att.sch.gr</t>
  </si>
  <si>
    <t>ΖΕΦΥΡΙ</t>
  </si>
  <si>
    <t>ΟΛΥΜΠΙΑΔΟΣ 28</t>
  </si>
  <si>
    <t>1ο ΔΗΜΟΤΙΚΟ ΣΧΟΛΕΙΟ ΜΕΓΑΡΩΝ</t>
  </si>
  <si>
    <t>mail@1dim-megar.att.sch.gr</t>
  </si>
  <si>
    <t>ΜΟΥΣΕΙΟΥ 1</t>
  </si>
  <si>
    <t>5ο ΔΗΜΟΤΙΚΟ ΣΧΟΛΕΙΟ ΑΣΠΡΟΠΥΡΓΟΥ</t>
  </si>
  <si>
    <t>mail@5dim-asprop.att.sch.gr</t>
  </si>
  <si>
    <t>ΣΟΛΩΝΟΣ &amp; ΥΔΡΑΣ-ΠΑΡΑΛΙΑ ΑΣΠΡΟΠΥΡΓΟΥ</t>
  </si>
  <si>
    <t>1ο ΔΗΜΟΤΙΚΟ ΣΧΟΛΕΙΟ ΜΑΝΔΡΑΣ</t>
  </si>
  <si>
    <t>mail@1dim-mandr.att.sch.gr</t>
  </si>
  <si>
    <t>ΑΧΙΛΛΕΩΣ 2</t>
  </si>
  <si>
    <t>ΔΗΜΟΤΙΚΟ ΣΧΟΛΕΙΟ ΕΡΥΘΡΩΝ ΑΤΤΙΚΗΣ</t>
  </si>
  <si>
    <t>mail@1dim-erythr.att.sch.gr</t>
  </si>
  <si>
    <t>ΕΡΥΘΡΕΣ ΑΤΤΙΚΗΣ</t>
  </si>
  <si>
    <t>ΑΝΕΞΑΡΤΗΣΙΑΣ 2-4</t>
  </si>
  <si>
    <t>7ο ΔΗΜΟΤΙΚΟ ΣΧΟΛΕΙΟ ΜΕΓΑΡΩΝ</t>
  </si>
  <si>
    <t>mail@7dim-megar.att.sch.gr</t>
  </si>
  <si>
    <t>ΑΓΙΟΥ ΙΩΑΝΝΗ ΘΕΟΛΟΓΟΥ 80</t>
  </si>
  <si>
    <t>1ο ΔΗΜΟΤΙΚΟ ΣΧΟΛΕΙΟ ΑΣΠΡΟΠΥΡΓΟΥ</t>
  </si>
  <si>
    <t>mail@1dim-asprop.att.sch.gr</t>
  </si>
  <si>
    <t>ΛΕΩΦΟΡΟΣ ΔΗΜΟΚΡΑΤΙΑΣ 33</t>
  </si>
  <si>
    <t>6ο ΔΗΜΟΤΙΚΟ ΣΧΟΛΕΙΟ ΑΣΠΡΟΠΥΡΓΟΥ</t>
  </si>
  <si>
    <t>mail@6dim-asprop.att.sch.gr</t>
  </si>
  <si>
    <t>ΗΡΩΩΝ ΠΟΛΥΤΕΧΝΕΙΟΥ-ΝΕΟΚΤΙΣΤΑ ΑΣΠΡΟΠΥΡΓΟΣ</t>
  </si>
  <si>
    <t>3ο ΔΗΜΟΤΙΚΟ ΣΧΟΛΕΙΟ ΜΑΝΔΡΑΣ</t>
  </si>
  <si>
    <t>mail@3dim-mandr.att.sch.gr</t>
  </si>
  <si>
    <t>ΕΡΓΑΤΙΚΕΣ ΚΑΤΟΙΚΙΕΣ  ΔΗΜΟΚΡΑΤΙΑΣ</t>
  </si>
  <si>
    <t>7ο ΔΗΜΟΤΙΚΟ ΣΧΟΛΕΙΟ ΑΝΩ ΛΙΟΣΙΩΝ</t>
  </si>
  <si>
    <t>mail@7dim-an-liosion.att.sch.gr</t>
  </si>
  <si>
    <t>ΚΑΡΑΪΣΚΑΚΗ ΚΑΙ ΚΟΥΜΑ</t>
  </si>
  <si>
    <t>1ο ΔΗΜΟΤΙΚΟ ΣΧΟΛΕΙΟ ΖΕΦΥΡΙΟΥ</t>
  </si>
  <si>
    <t>mail@1dim-zefyr.att.sch.gr</t>
  </si>
  <si>
    <t>ΦΙΛΙΚΗΣ ΕΤΑΙΡΕΙΑΣ ΚΑΙ ΠΑΠΑΦΛΕΣΣΑ 1</t>
  </si>
  <si>
    <t>10ο ΝΗΠΙΑΓΩΓΕΙΟ ΕΛΕΥΣΙΝΑΣ</t>
  </si>
  <si>
    <t>mail@10nip-elefs.att.sch.gr</t>
  </si>
  <si>
    <t>ΡΗΓΑ ΦΕΡΑΙΟΥ ΚΑΙ ΔΙΓΕΝΗ ΑΚΡΙΤΑ</t>
  </si>
  <si>
    <t>6ο ΝΗΠΙΑΓΩΓΕΙΟ ΑΣΠΡΟΠΥΡΓΟΥ</t>
  </si>
  <si>
    <t>mail@6nip-asprop.att.sch.gr</t>
  </si>
  <si>
    <t>ΝΕΟΚΤΙΣΤΑ ΑΣΠΡΟΠΥΡΓΟΥ</t>
  </si>
  <si>
    <t>2ο ΔΗΜΟΤΙΚΟ ΣΧΟΛΕΙΟ ΜΑΝΔΡΑΣ</t>
  </si>
  <si>
    <t>mail@2dim-mandr.att.sch.gr</t>
  </si>
  <si>
    <t>ΑΡΙΣΤΟΤΕΛΟΥΣ 2</t>
  </si>
  <si>
    <t>7ο ΔΗΜΟΤΙΚΟ ΣΧΟΛΕΙΟ ΕΛΕΥΣΙΝΑΣ&lt;&lt;ΑΝΤΩΝΙΟΣ ΜΙΧΑΗΛΟΣ&gt;&gt;</t>
  </si>
  <si>
    <t>mail@7dim-elefs.att.sch.gr</t>
  </si>
  <si>
    <t>ΝΙΚ.ΝΕΖΗ 56</t>
  </si>
  <si>
    <t>4ο ΝΗΠΙΑΓΩΓΕΙΟ ΑΝΩ ΛΙΟΣΙΩΝ</t>
  </si>
  <si>
    <t>mail@4nip-an-liosion.att.sch.gr</t>
  </si>
  <si>
    <t>ΑΙΓΑΙΟΥ ΠΕΛΑΓΟΥΣ ΚΑΙ ΚΟΡΙΝΘΟΥ</t>
  </si>
  <si>
    <t>7ο ΝΗΠΙΑΓΩΓΕΙΟ ΑΣΠΡΟΠΥΡΓΟΥ</t>
  </si>
  <si>
    <t>mail@7nip-asprop.att.sch.gr</t>
  </si>
  <si>
    <t>ΝΕΑ ΖΩΗ</t>
  </si>
  <si>
    <t>5ο ΔΗΜΟΤΙΚΟ ΣΧΟΛΕΙΟ ΕΛΕΥΣΙΝΑΣ</t>
  </si>
  <si>
    <t>mail@5dim-elefs.att.sch.gr</t>
  </si>
  <si>
    <t>ΕΘΝΙΚΗΣ ΑΝΤΙΣΤΑΣΕΩΣ ΚΑΙ ΤΡΙΠΤΟΛΕΜΟΥ</t>
  </si>
  <si>
    <t>8ο ΝΗΠΙΑΓΩΓΕΙΟ ΑΝΩ ΛΙΟΣΙΩΝ</t>
  </si>
  <si>
    <t>mail@8nip-an-liosion.att.sch.gr</t>
  </si>
  <si>
    <t>ΘΕΟΦΡΑΣΤΟΥ 1</t>
  </si>
  <si>
    <t>10ο ΝΗΠΙΑΓΩΓΕΙΟ ΑΝΩ ΛΙΟΣΙΩΝ</t>
  </si>
  <si>
    <t>mail@10nip-an-liosion.att.sch.gr</t>
  </si>
  <si>
    <t>9ο ΝΗΠΙΑΓΩΓΕΙΟ ΑΣΠΡΟΠΥΡΓΟΥ</t>
  </si>
  <si>
    <t>mail@9nip-asprop.att.sch.gr</t>
  </si>
  <si>
    <t>ΓΚΟΡΥΤΣΑ ΑΣΠΡΟΠΥΡΓΟΥ</t>
  </si>
  <si>
    <t>5ο ΝΗΠΙΑΓΩΓΕΙΟ ΕΛΕΥΣΙΝΑΣ</t>
  </si>
  <si>
    <t>mail@5nip-elefs.att.sch.gr</t>
  </si>
  <si>
    <t>ΑΛΚΙΒΙΑΔΟΥ ΚΑΙ ΑΡΚΑΔΙΟΥ</t>
  </si>
  <si>
    <t>2ο ΔΗΜΟΤΙΚΟ ΣΧΟΛΕΙΟ ΝΕΑΣ ΠΕΡΑΜΟΥ</t>
  </si>
  <si>
    <t>mail@2dim-n-peram.att.sch.gr</t>
  </si>
  <si>
    <t>ΝΕΑΣ ΠΕΡΑΜΟΥ</t>
  </si>
  <si>
    <t>ΠΕΡΙΟΧΗ ΒΛΥΧΑΔΑΣ</t>
  </si>
  <si>
    <t>10ο ΝΗΠΙΑΓΩΓΕΙΟ ΑΣΠΡΟΠΥΡΓΟΥ</t>
  </si>
  <si>
    <t>mail@10nip-asprop.att.sch.gr</t>
  </si>
  <si>
    <t>ΓΚΟΡΥΤΣΑ</t>
  </si>
  <si>
    <t>3ο ΔΗΜΟΤΙΚΟ ΣΧΟΛΕΙΟ ΖΕΦΥΡΙΟΥ</t>
  </si>
  <si>
    <t>mail@3dim-zefyr.att.sch.gr</t>
  </si>
  <si>
    <t>ΟΛΥΜΠΙΑΔΟΣ 28 ΚΑΙ ΣΟΛΩΜΟΥ</t>
  </si>
  <si>
    <t>1ο ΝΗΠΙΑΓΩΓΕΙΟ ΖΕΦΥΡΙΟΥ</t>
  </si>
  <si>
    <t>mail@1nip-zefyr.att.sch.gr</t>
  </si>
  <si>
    <t>ΦΙΛΙΚΗΣ ΕΤΑΙΡΕΙΑΣ &amp; ΠΑΠΑΦΛΕΣΣΑ</t>
  </si>
  <si>
    <t>ΔΗΜΟΤΙΚΟ ΣΧΟΛΕΙΟ ΒΙΛΛΙΩΝ ΑΤΤΙΚΗΣ</t>
  </si>
  <si>
    <t>mail@dim-villias.att.sch.gr</t>
  </si>
  <si>
    <t>ΒΙΛΙΑ ΑΤΤΙΚΗΣ</t>
  </si>
  <si>
    <t>ΠΛΑΤΑΙΩΝ 2</t>
  </si>
  <si>
    <t>4ο ΔΗΜΟΤΙΚΟ ΣΧΟΛΕΙΟ ΖΕΦΥΡΙΟΥ</t>
  </si>
  <si>
    <t>mail@4dim-zefyr.att.sch.gr</t>
  </si>
  <si>
    <t>ΠΑΝΑΓΙΑΣ ΓΡΗΓΟΡΟΥΣΗΣ 61 ΚΑΙ ΔΕΚΑΤΗΣ ΕΒΔΟΜΗΣ ΝΟΕΜΒΡΗ</t>
  </si>
  <si>
    <t>ΔΗΜΟΤΙΚΟ ΣΧΟΛΕΙΟ ΦΥΛΗΣ</t>
  </si>
  <si>
    <t>mail@dim-fylis.att.sch.gr</t>
  </si>
  <si>
    <t>ΦΥΛΗ</t>
  </si>
  <si>
    <t>ΕΜΜ.ΡΟΪΔΗ &amp; ΑΔ.ΚΟΡΑΗ</t>
  </si>
  <si>
    <t>1ο ΝΗΠΙΑΓΩΓΕΙΟ ΕΛΕΥΣΙΝΑΣ</t>
  </si>
  <si>
    <t>mail@1nip-elefs.att.sch.gr</t>
  </si>
  <si>
    <t>ΚΟΥΓΙΟΥΜΤΖΟΓΛΟΥ ΚΑΙ ΑΝ. ΤΣΟΚΑΝΗ</t>
  </si>
  <si>
    <t>8ο ΝΗΠΙΑΓΩΓΕΙΟ ΕΛΕΥΣΙΝΑΣ</t>
  </si>
  <si>
    <t>mail@8nip-elefs.att.sch.gr</t>
  </si>
  <si>
    <t>ΑΙΣΧΥΛΟΥ ΚΑΙ ΜΟΥΡΙΚΗ</t>
  </si>
  <si>
    <t>ΝΗΠΙΑΓΩΓΕΙΟ ΕΡΥΘΡΩΝ</t>
  </si>
  <si>
    <t>mail@nip-erythr.att.sch.gr</t>
  </si>
  <si>
    <t>ΕΡΥΘΡΩΝ</t>
  </si>
  <si>
    <t>ΑΝΕΞΑΡΤΗΣΙΑΣ 2</t>
  </si>
  <si>
    <t>8ο ΔΗΜΟΤΙΚΟ ΣΧΟΛΕΙΟ ΕΛΕΥΣΙΝΑΣ</t>
  </si>
  <si>
    <t>mail@8dim-elefs.att.sch.gr</t>
  </si>
  <si>
    <t>Ελευσίνα</t>
  </si>
  <si>
    <t>Ιάκχου &amp; Παναγιωτίδη 9</t>
  </si>
  <si>
    <t>1ο ΝΗΠΙΑΓΩΓΕΙΟ ΜΑΝΔΡΑΣ</t>
  </si>
  <si>
    <t>mail@1nip-mandr.att.sch.gr</t>
  </si>
  <si>
    <t>ΜΑΝΔΡΑΣ</t>
  </si>
  <si>
    <t>ΠΑΛΙΓΚΙΝΗ  08</t>
  </si>
  <si>
    <t>4ο ΔΗΜΟΤΙΚΟ ΣΧΟΛΕΙΟ ΕΛΕΥΣΙΝΑΣ</t>
  </si>
  <si>
    <t>mail@4dim-elefs.att.sch.gr</t>
  </si>
  <si>
    <t>1ο ΔΗΜΟΤΙΚΟ ΣΧΟΛΕΙΟ ΝΕΑΣ ΠΕΡΑΜΟΥ</t>
  </si>
  <si>
    <t>mail@1dim-n-peram.att.sch.gr</t>
  </si>
  <si>
    <t>ΙΩΑΚΕΙΜ ΚΑΡΑΓΙΩΡΓΗ 1</t>
  </si>
  <si>
    <t>3ο ΝΗΠΙΑΓΩΓΕΙΟ ΜΑΝΔΡΑΣ</t>
  </si>
  <si>
    <t>mail@3nip-mandr.att.sch.gr</t>
  </si>
  <si>
    <t>ΕΡΓΑΤΙΚΕΣ ΚΑΤΟΙΚΙΕΣ ΜΑΝΔΡΑΣ</t>
  </si>
  <si>
    <t>6ο ΝΗΠΙΑΓΩΓΕΙΟ ΜΑΝΔΡΑΣ</t>
  </si>
  <si>
    <t>mail@6nip-mandr.att.sch.gr</t>
  </si>
  <si>
    <t>Ν.ΡΟΚΑ ΚΑΙ ΘΕΜΙΔΟΣ</t>
  </si>
  <si>
    <t>8ο ΔΗΜΟΤΙΚΟ ΣΧΟΛΕΙΟ ΑΣΠΡΟΠΥΡΓΟΥ</t>
  </si>
  <si>
    <t>mail@8dim-asprop.att.sch.gr</t>
  </si>
  <si>
    <t>ΑΝΩ ΦΟΥΣΑ-ΤΕΡΜΑ ΓΙΑΝΝΗ ΠΑΠΑΪΩΑΝΝΟΥ</t>
  </si>
  <si>
    <t>2ο ΝΗΠΙΑΓΩΓΕΙΟ ΜΑΝΔΡΑΣ</t>
  </si>
  <si>
    <t>mail@2nip-mandr.att.sch.gr</t>
  </si>
  <si>
    <t>ΤΕΡΜΑ ΑΡΙΣΤΟΤΕΛΟΥΣ</t>
  </si>
  <si>
    <t>1ο ΝΗΠΙΑΓΩΓΕΙΟ ΜΕΓΑΡΩΝ</t>
  </si>
  <si>
    <t>mail@1nip-megar.att.sch.gr</t>
  </si>
  <si>
    <t>ΜΕΓΑΡΩΝ</t>
  </si>
  <si>
    <t>ΜΟΥΣΕΙΟΥ 17</t>
  </si>
  <si>
    <t>2ο ΝΗΠΙΑΓΩΓΕΙΟ ΜΕΓΑΡΩΝ</t>
  </si>
  <si>
    <t>mail@2nip-megar.att.sch.gr</t>
  </si>
  <si>
    <t>ΑΓ. ΙΩΑΝΝΗΣ ΓΑΛΛΙΛΑΙΟΣ</t>
  </si>
  <si>
    <t>2ο ΝΗΠΙΑΓΩΓΕΙΟ ΖΕΦΥΡΙΟΥ</t>
  </si>
  <si>
    <t>mail@2nip-zefyr.att.sch.gr</t>
  </si>
  <si>
    <t>ΖΕΦΥΡΙΟΥ</t>
  </si>
  <si>
    <t>ΚΟΥΤΣΟΝΙΚΑ ΚΑΙ ΣΟΥΛΙΟΥ</t>
  </si>
  <si>
    <t>ΝΗΠΙΑΓΩΓΕΙΟ ΦΥΛΗΣ</t>
  </si>
  <si>
    <t>mail@nip-fylis.att.sch.gr</t>
  </si>
  <si>
    <t>ΑΣΠΡΟΠΥΡΓΟΥ 6</t>
  </si>
  <si>
    <t>8ο ΝΗΠΙΑΓΩΓΕΙΟ ΜΕΓΑΡΩΝ</t>
  </si>
  <si>
    <t>mail@8nip-megar.att.sch.gr</t>
  </si>
  <si>
    <t>ΕΡΥΘΡΑΙΑΣ</t>
  </si>
  <si>
    <t>1ο ΔΗΜΟΤΙΚΟ ΣΧΟΛΕΙΟ ΑΝΩ ΛΙΟΣΙΩΝ</t>
  </si>
  <si>
    <t>mail@1dim-an-liosion.att.sch.gr</t>
  </si>
  <si>
    <t>ΚΟΡΙΝΘΙΑΚΟΥ ΚΑΙ ΠΙΝΔΟΥ</t>
  </si>
  <si>
    <t>5ο ΝΗΠΙΑΓΩΓΕΙΟ ΜΕΓΑΡΩΝ</t>
  </si>
  <si>
    <t>mail@5nip-megar.att.sch.gr</t>
  </si>
  <si>
    <t>ΤΕΡΜΑ ΡΑΓΚΑΒΗ</t>
  </si>
  <si>
    <t>1ο ΔΗΜΟΤΙΚΟ ΣΧΟΛΕΙΟ ΕΛΕΥΣΙΝΑΣ</t>
  </si>
  <si>
    <t>mail@1dim-elefs.att.sch.gr</t>
  </si>
  <si>
    <t>ΠΑΓΚΑΛΟΥ  ΚΑΙ  ΙΑΚΧΟΥ</t>
  </si>
  <si>
    <t>3ο ΝΗΠΙΑΓΩΓΕΙΟ ΜΕΓΑΡΩΝ</t>
  </si>
  <si>
    <t>mail@3nip-megar.att.sch.gr</t>
  </si>
  <si>
    <t>ΜΑΡΑΘΩΝΟΣ  1</t>
  </si>
  <si>
    <t>6ο ΝΗΠΙΑΓΩΓΕΙΟ ΜΕΓΑΡΩΝ</t>
  </si>
  <si>
    <t>mail@6nip-megar.att.sch.gr</t>
  </si>
  <si>
    <t>2ο ΔΗΜΟΤΙΚΟ ΣΧΟΛΕΙΟ ΑΝΩ ΛΙΟΣΙΩΝ</t>
  </si>
  <si>
    <t>mail@2dim-an-liosion.att.sch.gr</t>
  </si>
  <si>
    <t>AΝΩ ΛΙΟΣΙΑ</t>
  </si>
  <si>
    <t>ΑΓΙΟΥ ΙΩΑΝΝΟΥ ΘΕΟΛΟΓΟΥ ΚΑΙ ΟΡΘΟΔΟΞΙΑΣ</t>
  </si>
  <si>
    <t>4ο ΝΗΠΙΑΓΩΓΕΙΟ ΜΕΓΑΡΩΝ</t>
  </si>
  <si>
    <t>mail@4nip-megar.att.sch.gr</t>
  </si>
  <si>
    <t>ΤΕΡΜΑ ΑΓΙΟΥ ΙΩΑΝΝΟΥ ΘΕΟΛΟΓΟΥ</t>
  </si>
  <si>
    <t>7ο ΝΗΠΙΑΓΩΓΕΙΟ ΜΕΓΑΡΩΝ</t>
  </si>
  <si>
    <t>mail@7nip-megar.att.sch.gr</t>
  </si>
  <si>
    <t>Αγίου Ιωάννου Θεολόγου-Όπισθεν 7ου Δημοτικού Σχολείου</t>
  </si>
  <si>
    <t>1ο ΝΗΠΙΑΓΩΓΕΙΟ ΝΕΑ ΠΕΡΑΜΟΣ</t>
  </si>
  <si>
    <t>mail@1nip-n-peram.att.sch.gr</t>
  </si>
  <si>
    <t>ΑΝΑΠΑΥΣΕΩΣ</t>
  </si>
  <si>
    <t>3ο ΔΗΜΟΤΙΚΟ ΣΧΟΛΕΙΟ ΑΝΩ ΛΙΟΣΙΩΝ</t>
  </si>
  <si>
    <t>mail@3dim-an-liosion.att.sch.gr</t>
  </si>
  <si>
    <t>ΤΕΡΜΑ ΣΩΚΡΑΤΟΥΣ ΖΩΦΡΙΑ</t>
  </si>
  <si>
    <t>2ο ΝΗΠΙΑΓΩΓΕΙΟ ΝΕΑΣ ΠΕΡΑΜΟΥ</t>
  </si>
  <si>
    <t>mail@2nip-n-peram.att.sch.gr</t>
  </si>
  <si>
    <t>ΒΛΥΧΑΔΑ</t>
  </si>
  <si>
    <t>1ο ΝΗΠΙΑΓΩΓΕΙΟ ΜΑΓΟΥΛΑΣ</t>
  </si>
  <si>
    <t>mail@1nip-magoul.att.sch.gr</t>
  </si>
  <si>
    <t>ΜΑΓΟΥΛΑΣ</t>
  </si>
  <si>
    <t>ΗΡΩΩΝ ΠΟΛΥΤΕΧΝΕΙΟΥ 8</t>
  </si>
  <si>
    <t>3ο ΝΗΠΙΑΓΩΓΕΙΟ ΝΕΑ ΠΕΡΑΜΟΣ</t>
  </si>
  <si>
    <t>mail@3nip-n-peram.att.sch.gr</t>
  </si>
  <si>
    <t>2ο ΔΗΜΟΤΙΚΟ ΣΧΟΛΕΙΟ ΕΛΕΥΣΙΝΑΣ</t>
  </si>
  <si>
    <t>mail@2dim-elefs.att.sch.gr</t>
  </si>
  <si>
    <t>ΘΑΝΑΣΟΥΛΟΠΟΥΛΟΥ 7</t>
  </si>
  <si>
    <t>4ο ΝΗΠΙΑΓΩΓΕΙΟ ΕΛΕΥΣΙΝΑΣ</t>
  </si>
  <si>
    <t>mail@4nip-elefs.att.sch.gr</t>
  </si>
  <si>
    <t>ΡΗΓΑ ΦΕΡΑΙΟΥ ΚΑΙ ΠΕΤΡΑΚΗ</t>
  </si>
  <si>
    <t>7ο ΔΗΜΟΤΙΚΟ ΣΧΟΛΕΙΟ ΑΣΠΡΟΠΥΡΓΟΥ</t>
  </si>
  <si>
    <t>mail@7dim-asprop.att.sch.gr</t>
  </si>
  <si>
    <t>Τ.Θ. 50063</t>
  </si>
  <si>
    <t>4ο ΔΗΜΟΤΙΚΟ ΣΧΟΛΕΙΟ ΑΝΩ ΛΙΟΣΙΩΝ</t>
  </si>
  <si>
    <t>mail@4dim-an-liosion.att.sch.gr</t>
  </si>
  <si>
    <t>ΕΓΓΟΝΟΠΟΥΛΟΥ ΚΑΙ ΠΑΡΘΕΝΗ</t>
  </si>
  <si>
    <t>2ο ΔΗΜΟΤΙΚΟ ΣΧΟΛΕΙΟ ΖΕΦΥΡΙΟΥ</t>
  </si>
  <si>
    <t>mail@2dim-zefyr.att.sch.gr</t>
  </si>
  <si>
    <t>ΣΟΥΛΙΟΥ ΚΑΙ ΚΟΥΤΣΟΝΙΚΑ</t>
  </si>
  <si>
    <t>4ο ΝΗΠΙΑΓΩΓΕΙΟ ΑΣΠΡΟΠΥΡΓΟΥ</t>
  </si>
  <si>
    <t>mail@4nip-asprop.att.sch.gr</t>
  </si>
  <si>
    <t>10ο ΔΗΜΟΤΙΚΟ ΣΧΟΛΕΙΟ ΕΛΕΥΣΙΝΑΣ</t>
  </si>
  <si>
    <t>mail@10dim-elefs.att.sch.gr</t>
  </si>
  <si>
    <t>ΡΗΓΑ ΦΕΡΑΙΟΥ ΚΑΙ ΦΡΑΓΚΟΥΛΗ ΦΟΥΤΡΗ</t>
  </si>
  <si>
    <t>5ο ΝΗΠΙΑΓΩΓΕΙΟ ΑΣΠΡΟΠΥΡΓΟΥ</t>
  </si>
  <si>
    <t>mail@5nip-asprop.att.sch.gr</t>
  </si>
  <si>
    <t>ΠΑΡΑΛΙΑ ΑΣΠΡΟΠΥΡΓΟΥ</t>
  </si>
  <si>
    <t>8ο ΝΗΠΙΑΓΩΓΕΙΟ ΑΣΠΡΟΠΥΡΓΟΥ</t>
  </si>
  <si>
    <t>mail@8nip-asprop.att.sch.gr</t>
  </si>
  <si>
    <t>ΤΕΡΜΑ ΜΑΡΚΟΥ ΒΑΜΒΑΚΑΡΗ</t>
  </si>
  <si>
    <t>5ο ΔΗΜΟΤΙΚΟ ΣΧΟΛΕΙΟ ΑΝΩ ΛΙΟΣΙΩΝ</t>
  </si>
  <si>
    <t>mail@5dim-an-liosion.att.sch.gr</t>
  </si>
  <si>
    <t>ΖΟΥΜΠΟΥΛΙΩΝ 1</t>
  </si>
  <si>
    <t>2ο ΔΗΜΟΤΙΚΟ ΣΧΟΛΕΙΟ ΜΑΓΟΥΛΑΣ</t>
  </si>
  <si>
    <t>mail@2dim-magoul.att.sch.gr</t>
  </si>
  <si>
    <t>ΛΕΩΝΙΔΑ ΣΤΑΜΟΥ 54</t>
  </si>
  <si>
    <t>11ο ΔΗΜΟΤΙΚΟ ΣΧΟΛΕΙΟ ΑΣΠΡΟΠΥΡΓΟΥ</t>
  </si>
  <si>
    <t>mail@11dim-asprop.att.sch.gr</t>
  </si>
  <si>
    <t>ΤΕΡΜΑ ΒΙΝΤΣΕΝΤΖΟΥ ΚΟΡΝΑΡΟΥ -ΡΟΥΠΑΚΙ</t>
  </si>
  <si>
    <t>6ο ΔΗΜΟΤΙΚΟ ΣΧΟΛΕΙΟ ΑΝΩ ΛΙΟΣΙΩΝ</t>
  </si>
  <si>
    <t>mail@6dim-an-liosion.att.sch.gr</t>
  </si>
  <si>
    <t>ΑΝΩ  ΛΙΟΣΙA</t>
  </si>
  <si>
    <t>ΚΥΚΛΑΔΩΝ 33</t>
  </si>
  <si>
    <t>9ο ΔΗΜΟΤΙΚΟ ΣΧΟΛΕΙΟ ΑΝΩ ΛΙΟΣΙΩΝ</t>
  </si>
  <si>
    <t>mail@9dim-an-liosion.att.sch.gr</t>
  </si>
  <si>
    <t>ΔΥΝΑΣΤΕΙΑΣ  ΚΟΜΝΗΝΩΝ</t>
  </si>
  <si>
    <t>3ο ΔΗΜΟΤΙΚΟ ΣΧΟΛΕΙΟ ΕΛΕΥΣΙΝΑΣ</t>
  </si>
  <si>
    <t>mail@3dim-elefs.att.sch.gr</t>
  </si>
  <si>
    <t>ΔΑΡΔΑΝΕΛΛΙΩΝ 85</t>
  </si>
  <si>
    <t>10ο Δ.Σ ΑΣΠΡΟΠΥΡΓΟΥ</t>
  </si>
  <si>
    <t>mail@10dim-asprop.att.sch.gr</t>
  </si>
  <si>
    <t>ΓΚΟΡΥΤΣΑΣ ΚΑΙ ΜΙΛΗΤΟΥ</t>
  </si>
  <si>
    <t>1ο ΔΗΜΟΤΙΚΟ ΣΧΟΛΕΙΟ ΜΑΓΟΥΛΑΣ</t>
  </si>
  <si>
    <t>mail@1dim-magoul.att.sch.gr</t>
  </si>
  <si>
    <t>1ο ΝΗΠΙΑΓΩΓΕΙΟ ΑΣΠΡΟΠΥΡΓΟΥ</t>
  </si>
  <si>
    <t>mail@1nip-asprop.att.sch.gr</t>
  </si>
  <si>
    <t>ΠΛΑΤΩΝΟΣ 1</t>
  </si>
  <si>
    <t>9ο ΔΗΜΟΤΙΚΟ ΣΧΟΛΕΙΟ ΕΛΕΥΣΙΝΑΣ</t>
  </si>
  <si>
    <t>mail@9dim-elefs.att.sch.gr</t>
  </si>
  <si>
    <t>ΚΥΠΡΑΙΟΥ 45</t>
  </si>
  <si>
    <t>2ο ΝΗΠΙΑΓΩΓΕΙΟ ΕΛΕΥΣΙΝΑΣ</t>
  </si>
  <si>
    <t>mail@2nip-elefs.att.sch.gr</t>
  </si>
  <si>
    <t>ΔΑΡΔΑΝΕΛΙΩΝ 85</t>
  </si>
  <si>
    <t>2ο ΝΗΠΙΑΓΩΓΕΙΟ ΑΣΠΡΟΠΥΡΓΟΥ</t>
  </si>
  <si>
    <t>mail@2nip-asprop.att.sch.gr</t>
  </si>
  <si>
    <t>3ο ΝΗΠΙΑΓΩΓΕΙΟ ΑΣΠΡΟΠΥΡΓΟΥ</t>
  </si>
  <si>
    <t>mail@3nip-asprop.att.sch.gr</t>
  </si>
  <si>
    <t>ΤΣΙΓΚΟΥ ΑΘΑΝΑΣΙΟΥ</t>
  </si>
  <si>
    <t>4ο ΔΗΜΟΤΙΚΟ ΣΧΟΛΕΙΟ ΜΕΓΑΡΩΝ</t>
  </si>
  <si>
    <t>mail@4dim-megar.att.sch.gr</t>
  </si>
  <si>
    <t>ΡΑΓΚΑΒΗ_ΣΤΡΑΤΗΓΗ</t>
  </si>
  <si>
    <t>2ο ΔΗΜΟΤΙΚΟ ΣΧΟΛΕΙΟ ΜΕΓΑΡΩΝ</t>
  </si>
  <si>
    <t>mail@2dim-megar.att.sch.gr</t>
  </si>
  <si>
    <t>ΣΩΚΡΑΤΟΥΣ 34</t>
  </si>
  <si>
    <t>2ο ΝΗΠΙΑΓΩΓΕΙΟ ΜΑΓΟΥΛΑΣ</t>
  </si>
  <si>
    <t>mail@2nip-magoul.att.sch.gr</t>
  </si>
  <si>
    <t>ΛΕΩΝΙΔΑ ΣΤΑΜΟΥ ΚΑΙ ΓΕΩΡΓΙΟΥ ΠΑΠΑΝΔΡΕΟΥ 54</t>
  </si>
  <si>
    <t>5ο ΔΗΜΟΤΙΚΟ ΣΧΟΛΕΙΟ ΜΕΓΑΡΩΝ</t>
  </si>
  <si>
    <t>mail@5dim-megar.att.sch.gr</t>
  </si>
  <si>
    <t>ΣΤΡΑΤΗΓΗ 37</t>
  </si>
  <si>
    <t>4ο ΝΗΠΙΑΓΩΓΕΙΟ ΖΕΦΥΡΙΟΥ</t>
  </si>
  <si>
    <t>mail@4nip-zefyr.att.sch.gr</t>
  </si>
  <si>
    <t>ΑΛΑΜΑΝΑΣ ΚΑΙ ΜΠΟΥΜΠΟΥΛΙΝΑΣ 3</t>
  </si>
  <si>
    <t>11ο ΝΗΠΙΑΓΩΓΕΙΟ ΑΣΠΡΟΠΥΡΓΟΥ</t>
  </si>
  <si>
    <t>mail@11nip-asprop.att.sch.gr</t>
  </si>
  <si>
    <t>ΒΙΤΣΕΝΤΖΟΥ ΚΟΡΝΑΡΟΥ ΤΕΡΜΑ</t>
  </si>
  <si>
    <t>11ο ΝΗΠΙΑΓΩΓΕΙΟ ΑΝΩ ΛΙΟΣΙΩΝ</t>
  </si>
  <si>
    <t>mail@11nip-an-liosion.att.sch.gr</t>
  </si>
  <si>
    <t>ΑΔΑΜΑΝΤΙΟΥ ΚΟΡΑΗ 3 &amp; ΓΕΩΡΓΙΟΥ ΣΟΥΡΗ</t>
  </si>
  <si>
    <t>10ο ΔΗΜΟΤΙΚΟ ΣΧΟΛΕΙΟ ΑΝΩ ΛΙΟΣΙΩΝ</t>
  </si>
  <si>
    <t>mail@10dim-an-liosion.att.sch.gr</t>
  </si>
  <si>
    <t>ΛΟΥΡΟΥ 8 &amp; ΠΑΜΒΩΤΙΔΟΣ 9</t>
  </si>
  <si>
    <t>11ο ΔΗΜΟΤΙΚΟ ΣΧΟΛΕΙΟ ΑΝΩ ΛΙΟΣΙΩΝ</t>
  </si>
  <si>
    <t>mail@11dim-an-liosion.att.sch.gr</t>
  </si>
  <si>
    <t>ΚΑΛΛΙΝΙΚΟΥ &amp; ΜΕΓΑΛΟΥ ΚΩΝΣΤΑΝΤΙΝΟΥ</t>
  </si>
  <si>
    <t>Π.Ε. ΠΕΙΡΑΙΑ</t>
  </si>
  <si>
    <t>7ο ΝΗΠΙΑΓΩΓΕΙΟ ΚΕΡΑΤΣΙΝΙΟΥ</t>
  </si>
  <si>
    <t>mail@7nip-kerats.att.sch.gr</t>
  </si>
  <si>
    <t>ΚΕΡΑΤΣΙΝΙΟΥ - ΔΡΑΠΕΤΣΩΝΑΣ</t>
  </si>
  <si>
    <t>ΚΕΡΑΤΣΙΝΙΟΥ</t>
  </si>
  <si>
    <t>ΚΑΡΑΟΛΗ Κ ΔΗΜΗΤΡΙΟΥ 97</t>
  </si>
  <si>
    <t>5ο ΝΗΠΙΑΓΩΓΕΙΟ ΚΕΡΑΤΣΙΝΙΟΥ</t>
  </si>
  <si>
    <t>mail@5nip-kerats.att.sch.gr</t>
  </si>
  <si>
    <t>18ο ΝΗΠΙΑΓΩΓΕΙΟ ΚΕΡΑΤΣΙΝΙΟΥ</t>
  </si>
  <si>
    <t>mail@18nip-kerats.att.sch.gr</t>
  </si>
  <si>
    <t>ΒΑΛΤΕΤΣΙΟΥ 15</t>
  </si>
  <si>
    <t>4ο ΝΗΠΙΑΓΩΓΕΙΟ ΚΕΡΑΤΣΙΝΙΟΥ</t>
  </si>
  <si>
    <t>mail@4nip-kerats.att.sch.gr</t>
  </si>
  <si>
    <t>ΠΑΝΟΡΜΟΥ 66</t>
  </si>
  <si>
    <t>9ο ΝΗΠΙΑΓΩΓΕΙΟ ΚΕΡΑΤΣΙΝΙΟΥ</t>
  </si>
  <si>
    <t>mail@9nip-kerats.att.sch.gr</t>
  </si>
  <si>
    <t>ΔΑΒΑΚΗ 6</t>
  </si>
  <si>
    <t>15ο ΝΗΠΙΑΓΩΓΕΙΟ ΚΕΡΑΤΣΙΝΙΟΥ</t>
  </si>
  <si>
    <t>mail@15nip-kerats.att.sch.gr</t>
  </si>
  <si>
    <t>Αναγνωσταρά 66</t>
  </si>
  <si>
    <t>10ο ΟΛΟΗΜΕΡΟ ΝΗΠΙΑΓΩΓΕΙΟ ΚΕΡΑΤΣΙΝΙΟΥ</t>
  </si>
  <si>
    <t>mail@10nip-kerats.att.sch.gr</t>
  </si>
  <si>
    <t>ΞΕΝΟΦΩΝΤΟΣ Κ ΦΛΕΜΙΓΚ</t>
  </si>
  <si>
    <t>2ο ΝΗΠΙΑΓΩΓΕΙΟ ΠΕΡΑΜΑΤΟΣ</t>
  </si>
  <si>
    <t>mail@2nip-peram.att.sch.gr</t>
  </si>
  <si>
    <t>ΠΕΡΑΜΑΤΟΣ</t>
  </si>
  <si>
    <t>25 ΜΑΡΤΙΟΥ 31</t>
  </si>
  <si>
    <t>20ο ΝΗΠΙΑΓΩΓΕΙΟ ΚΕΡΑΤΣΙΝΙΟΥ</t>
  </si>
  <si>
    <t>mail@20nip-kerats.att.sch.gr</t>
  </si>
  <si>
    <t>ΤΑΥΓΕΤΟΥ 8</t>
  </si>
  <si>
    <t>3ο ΝΗΠΙΑΓΩΓΕΙΟ ΠΕΡΑΜΑΤΟΣ</t>
  </si>
  <si>
    <t>mail@3nip-peram.att.sch.gr</t>
  </si>
  <si>
    <t>ΑΓΙΟΥ ΝΙΚΟΛΑΟΥ 2</t>
  </si>
  <si>
    <t>20ο  ΝΗΠΙΑΓΩΓΕΙΟ ΠΕΙΡΑΙΑ</t>
  </si>
  <si>
    <t>mail@20nip-peiraia.att.sch.gr</t>
  </si>
  <si>
    <t>ΠΕΙΡΑΙΩΣ</t>
  </si>
  <si>
    <t>ΠΕΙΡΑΙΑ</t>
  </si>
  <si>
    <t>ΦΡΑΓΚΙΑΔΩΝ 109</t>
  </si>
  <si>
    <t>11ο ΝΗΠΙΑΓΩΓΕΙΟ ΚΕΡΑΤΣΙΝΙΟΥ</t>
  </si>
  <si>
    <t>mail@11nip-kerats.att.sch.gr</t>
  </si>
  <si>
    <t>ΠΡΟΥΣΣΗΣ Κ ΤΡΑΠΕΖΟΥΝΤΟΣ</t>
  </si>
  <si>
    <t>12ο ΝΗΠΙΑΓΩΓΕΙΟ ΚΕΡΑΤΣΙΝΙΟΥ</t>
  </si>
  <si>
    <t>mail@12nip-kerats.att.sch.gr</t>
  </si>
  <si>
    <t>13ο ΝΗΠΙΑΓΩΓΕΙΟ ΚΕΡΑΤΣΙΝΙΟΥ</t>
  </si>
  <si>
    <t>mail@13nip-kerats.att.sch.gr</t>
  </si>
  <si>
    <t>ΓΛΗΝΟΥ 1</t>
  </si>
  <si>
    <t>16ο ΝΗΠΙΑΓΩΓΕΙΟ ΚΕΡΑΤΣΙΝΙΟΥ</t>
  </si>
  <si>
    <t>mail@16nip-kerats.att.sch.gr</t>
  </si>
  <si>
    <t>ΑΔΡΙΑΝΟΥ 45</t>
  </si>
  <si>
    <t>24ο ΝΗΠΙΑΓΩΓΕΙΟ ΚΕΡΑΤΣΙΝΙΟΥ</t>
  </si>
  <si>
    <t>mail@24nip-kerats.att.sch.gr</t>
  </si>
  <si>
    <t>ΔΙΟΓΕΝΟΥΣ ΚΑΙ ΧΗΛΗΣ</t>
  </si>
  <si>
    <t>53ο ΝΗΠΙΑΓΩΓΕΙΟ ΠΕΙΡΑΙΑ</t>
  </si>
  <si>
    <t>mail@53nip-peiraia.att.sch.gr</t>
  </si>
  <si>
    <t>6ο ΝΗΠΙΑΓΩΓΕΙΟ ΠΕΡΑΜΑΤΟΣ</t>
  </si>
  <si>
    <t>mail@6nip-peram.att.sch.gr</t>
  </si>
  <si>
    <t>ΠΑΝΑΓΙΑΣ ΓΙΑΤΡΙΣΣΗΣ 72 ΚΑΙ ΛΟΓΟΘΕΤΗ</t>
  </si>
  <si>
    <t>14ο ΝΗΠΙΑΓΩΓΕΙΟ ΚΕΡΑΤΣΙΝΙΟΥ</t>
  </si>
  <si>
    <t>mail@14nip-kerats.att.sch.gr</t>
  </si>
  <si>
    <t>ΣΥΡΟΥ Κ ΥΨΗΛΑΝΤΟΥ</t>
  </si>
  <si>
    <t>51ο ΟΛΟΗΜΕΡΟ ΝΗΠΙΑΓΩΓΕΙΟ ΠΕΙΡΑΙΑ</t>
  </si>
  <si>
    <t>mail@51nip-peiraia.att.sch.gr</t>
  </si>
  <si>
    <t>ΑΓ.ΔΗΜΗΤΡΙΟΥ 69</t>
  </si>
  <si>
    <t>46ο  ΝΗΠΙΑΓΩΓΕΙΟ ΠΕΙΡΑΙΑ</t>
  </si>
  <si>
    <t>mail@46nip-peiraia.att.sch.gr</t>
  </si>
  <si>
    <t>ΚΑΛΑΜΩΝ 41</t>
  </si>
  <si>
    <t>48ο ΝΗΠΙΑΓΩΓΕΙΟ ΠΕΙΡΑΙΑ</t>
  </si>
  <si>
    <t>mail@48nip-peiraia.att.sch.gr</t>
  </si>
  <si>
    <t>ΗΡΑΚΛΕΙΔΩΝ 27</t>
  </si>
  <si>
    <t>12ο ΔΗΜΟΤΙΚΟ ΣΧΟΛΕΙΟ ΝΙΚΑΙΑΣ</t>
  </si>
  <si>
    <t>mail@12dim-nikaias.att.sch.gr</t>
  </si>
  <si>
    <t>ΝΙΚΑΙΑΣ - ΑΓΙΟΥ Ι. ΡΕΝΤΗ</t>
  </si>
  <si>
    <t>ΝΙΚΑΙΑ</t>
  </si>
  <si>
    <t>Π. ΡΑΛΛΗ 184</t>
  </si>
  <si>
    <t>1ο  ΝΗΠΙΑΓΩΓΕΙΟ ΔΡΑΠΕΤΣΩΝΑΣ</t>
  </si>
  <si>
    <t>mail@1nip-drapets.att.sch.gr</t>
  </si>
  <si>
    <t>ΔΡΑΠΕΤΣΩΝΑ</t>
  </si>
  <si>
    <t>Γ. ΑΦΑΡΑ ΚΑΙ ΕΛ. ΒΕΝΙΖΕΛΟΥ</t>
  </si>
  <si>
    <t>4ο ΝΗΠΙΑΓΩΓΕΙΟ ΔΡΑΠΕΤΣΩΝΑΣ</t>
  </si>
  <si>
    <t>mail@4nip-drapets.att.sch.gr</t>
  </si>
  <si>
    <t>ΔΡΑΠΕΤΣΩΝΑΣ</t>
  </si>
  <si>
    <t>ΑΝΑΠΑΥΣΕΩΣ 3</t>
  </si>
  <si>
    <t>23ο  ΝΗΠΙΑΓΩΓΕΙΟ ΠΕΙΡΑΙΑ</t>
  </si>
  <si>
    <t>mail@23nip-peiraia.att.sch.gr</t>
  </si>
  <si>
    <t>ΞΑΝΘΟΠΟΥΛΙΔΟΥ ΜΙΑΟΥΛΗ 23</t>
  </si>
  <si>
    <t>17ο  ΝΗΠΙΑΓΩΓΕΙΟ ΠΕΙΡΑΙΑ</t>
  </si>
  <si>
    <t>mail@17nip-peiraia.att.sch.gr</t>
  </si>
  <si>
    <t>ΤΕΓΕΑΣ 1</t>
  </si>
  <si>
    <t>3ο ΝΗΠΙΑΓΩΓΕΙΟ ΔΡΑΠΕΤΣΩΝΑΣ</t>
  </si>
  <si>
    <t>mail@3nip-drapets.att.sch.gr</t>
  </si>
  <si>
    <t>ΑΝΑΠΑΥΣΕΩΣ ΚΑΙ ΚΑΛΟΚΑΙΡΙΝΟΥ</t>
  </si>
  <si>
    <t>ΟΛΟΗΜΕΡΟ ΝΗΠΙΑΓΩΓΕΙΟ ΝΕΟΥ ΙΚΟΝΙΟΥ ΠΕΡΑΜΑΤΟΣ</t>
  </si>
  <si>
    <t>mail@nip-n-ikon.att.sch.gr</t>
  </si>
  <si>
    <t>Ν. ΙΚΟΝΙΟ</t>
  </si>
  <si>
    <t>ΝΙΚΗΣ 61</t>
  </si>
  <si>
    <t>26ο  ΝΗΠΙΑΓΩΓΕΙΟ ΠΕΙΡΑΙΑ</t>
  </si>
  <si>
    <t>mail@26nip-peiraia.att.sch.gr</t>
  </si>
  <si>
    <t>ΚΑΛΥΨΟΥΣ 20</t>
  </si>
  <si>
    <t>7ο ΝΗΠΙΑΓΩΓΕΙΟ ΝΙΚΑΙΑΣ</t>
  </si>
  <si>
    <t>mail@7nip-nikaias.att.sch.gr</t>
  </si>
  <si>
    <t>ΝΙΚΑΙΑΣ</t>
  </si>
  <si>
    <t>ΠΡΟΠΟΝΤΙΔΟΣ 1</t>
  </si>
  <si>
    <t>6ο ΟΛΟΗΜΕΡΟ ΝΗΠΙΑΓΩΓΕΙΟ ΠΕΙΡΑΙΑ</t>
  </si>
  <si>
    <t>mail@6nip-peiraia.att.sch.gr</t>
  </si>
  <si>
    <t>ΠΑΠΑΦΛΕΣΣΑ-ΔΟΓΑΝΗΣ</t>
  </si>
  <si>
    <t>5ο ΟΛΟΗΜΕΡΟ ΝΗΠΙΑΓΩΓΕΙΟ ΠΕΙΡΑΙΑ</t>
  </si>
  <si>
    <t>mail@5nip-peiraia.att.sch.gr</t>
  </si>
  <si>
    <t>ΡΑΙΔΕΣΤΟΥ 84</t>
  </si>
  <si>
    <t>5ο  ΝΗΠΙΑΓΩΓΕΙΟ ΠΕΡΑΜΑΤΟΣ</t>
  </si>
  <si>
    <t>mail@5nip-peram.att.sch.gr</t>
  </si>
  <si>
    <t>ΕΙΚΟΣΤΗΣ ΠΕΜΠΤΗΣ ΜΑΡΤΙΟΥ ΚΑΙ ΕΜΜΑΝΟΥΗΛ ΠΑΠΠΑ 3</t>
  </si>
  <si>
    <t>11ο ΟΛΟΗΜΕΡΟ ΝΗΠΙΑΓΩΓΕΙΟ ΠΕΙΡΑΙΑ</t>
  </si>
  <si>
    <t>mail@11nip-peiraia.att.sch.gr</t>
  </si>
  <si>
    <t>ΣΑΛΑΜΙΝΟΣ ΚΑΙ ΨΑΡΡΩΝ 84</t>
  </si>
  <si>
    <t>1ο ΝΗΠΙΑΓΩΓΕΙΟ ΠΕΡΑΜΑΤΟΣ</t>
  </si>
  <si>
    <t>mail@1nip-peram.att.sch.gr</t>
  </si>
  <si>
    <t>ΜΑΚΕΔΟΝΙΑΣ 61</t>
  </si>
  <si>
    <t>22ο ΟΛΟΗΜΕΡΟ ΝΗΠΙΑΓΩΓΕΙΟ ΠΕΙΡΑΙΑ</t>
  </si>
  <si>
    <t>mail@22nip-peiraia.att.sch.gr</t>
  </si>
  <si>
    <t>Μ. ΧΑΤΖΗΚΥΡΙΑΚΟΥ 27</t>
  </si>
  <si>
    <t>25ο ΟΛΟΗΜΕΡΟ ΝΗΠΙΑΓΩΓΕΙΟ ΠΕΙΡΑΙΑ</t>
  </si>
  <si>
    <t>mail@25nip-peiraia.att.sch.gr</t>
  </si>
  <si>
    <t>ΣΠΥΡΟΠΟΥΛΟΥ 27</t>
  </si>
  <si>
    <t>1ο ΟΛΟΗΜΕΡΟ ΝΗΠΙΑΓΩΓΕΙΟ ΑΓΙΟΥ ΙΩΑΝΝΗ ΡΕΝΤΗ</t>
  </si>
  <si>
    <t>mail@1nip-ag-ioann.att.sch.gr</t>
  </si>
  <si>
    <t>ΑΓΙΟΥ ΙΩΑΝΝΗ ΡΕΝΤΗ</t>
  </si>
  <si>
    <t>ΑΓΙΟΥ ΙΩΑΝΝΗ ΡΕΝΤΗ 18</t>
  </si>
  <si>
    <t>35ο ΝΗΠΙΑΓΩΓΕΙΟ ΠΕΙΡΑΙΑ</t>
  </si>
  <si>
    <t>mail@35nip-peiraia.att.sch.gr</t>
  </si>
  <si>
    <t>ΑΛΕΞΑΝΔΡΟΥ 3</t>
  </si>
  <si>
    <t>50ο ΝΗΠΙΑΓΩΓΕΙΟ ΠΕΙΡΑΙΑ</t>
  </si>
  <si>
    <t>mail@50nip-peiraia.att.sch.gr</t>
  </si>
  <si>
    <t>Γ.ΘΕΟΤΟΚΗ 1</t>
  </si>
  <si>
    <t>5ο ΟΛΟΗΜΕΡΟ ΝΗΠΙΑΓΩΓΕΙΟ ΑΓΙΟΥ ΙΩΑΝΝΗ ΡΕΝΤΗ</t>
  </si>
  <si>
    <t>mail@5nip-ag-ioann.att.sch.gr</t>
  </si>
  <si>
    <t>Π.ΝΙΚΟΛΑΙΔΗ 21</t>
  </si>
  <si>
    <t>2ο ΝΗΠΙΑΓΩΓΕΙΟ ΝΕΟΥ ΦΑΛΗΡΟΥ</t>
  </si>
  <si>
    <t>mail@2nip-n-falir.att.sch.gr</t>
  </si>
  <si>
    <t>ΝΕΟΥ  ΦΑΛΗΡΟΥ</t>
  </si>
  <si>
    <t>ΚΑΝΕΛΛΟΠΟΥΛΟΥ 58</t>
  </si>
  <si>
    <t>4ο ΝΗΠΙΑΓΩΓΕΙΟ ΠΕΡΑΜΑΤΟΣ</t>
  </si>
  <si>
    <t>mail@4nip-peram.att.sch.gr</t>
  </si>
  <si>
    <t>ΛΟΥΚΙΑΝΟΥ ΚΑΙ ΜΟΝΙΠΠΟΥ 3</t>
  </si>
  <si>
    <t>36ο ΟΛΟΗΜΕΡΟ ΝΗΠΙΑΓΩΓΕΙΟ ΠΕΙΡΑΙΑ</t>
  </si>
  <si>
    <t>mail@36nip-peiraia.att.sch.gr</t>
  </si>
  <si>
    <t>ΑΛΕΞΑΝΔΡΟΥ 1</t>
  </si>
  <si>
    <t>1ο ΔΗΜΟΤΙΚΟ ΣΧΟΛΕΙΟ ΝΕΟΥ ΦΑΛΗΡΟΥ</t>
  </si>
  <si>
    <t>mail@1dim-n-falir.att.sch.gr</t>
  </si>
  <si>
    <t>ΠΕΙΡΑΙΑΣ</t>
  </si>
  <si>
    <t>ΣΜΟΛΕΝΣΚΥ 30</t>
  </si>
  <si>
    <t>9ο  ΔΗΜΟΤΙΚΟ ΣΧΟΛΕΙΟ ΚΕΡΑΤΣΙΝΙΟΥ</t>
  </si>
  <si>
    <t>mail@9dim-kerats.att.sch.gr</t>
  </si>
  <si>
    <t xml:space="preserve">ΚΕΡΑΤΣΙΝΙ </t>
  </si>
  <si>
    <t>12/Θ ΟΛΟΗΜΕΡΟ ΔΗΜΟΤΙΚΟ ΣΧΟΛΕΙΟ ΑΜΠΕΛΑΚΙΩΝ ΣΑΛΑΜΙΝΑΣ</t>
  </si>
  <si>
    <t>mail@dim-ampel.att.sch.gr</t>
  </si>
  <si>
    <t>ΣΑΛΑΜΙΝΟΣ</t>
  </si>
  <si>
    <t>Αμπελάκια</t>
  </si>
  <si>
    <t>ΕΙΣΟΔΙΩΝ ΘΕΟΤΟΚΟΥ 52</t>
  </si>
  <si>
    <t>28ο ΔΗΜΟΤΙΚΟ ΣΧΟΛΕΙΟ ΠΕΙΡΑΙΑ</t>
  </si>
  <si>
    <t>mail@28dim-peiraia.att.sch.gr</t>
  </si>
  <si>
    <t>ΣΑΝΤΑΡΟΖΑ 4</t>
  </si>
  <si>
    <t>54ο ΔΗΜΟΤΙΚΟ ΣΧΟΛΕΙΟ ΠΕΙΡΑΙΑ</t>
  </si>
  <si>
    <t>mail@54dim-peiraia.att.sch.gr</t>
  </si>
  <si>
    <t>ΑΚΤΗ ΘΕΜΙΣΤΟΚΛΕΟΥΣ 330 ΚΑΙ ΣΠΥΡΟΠΟΥΛΟΥ 27</t>
  </si>
  <si>
    <t>11ο ΔΗΜΟΤΙΚΟ ΣΧΟΛΕΙΟ ΠΕΙΡΑΙΑ</t>
  </si>
  <si>
    <t>mail@11dim-peiraia.att.sch.gr</t>
  </si>
  <si>
    <t>ΘΕΣΣΑΛΟΝΙΚΗΣ 71</t>
  </si>
  <si>
    <t>2ο ΝΗΠΙΑΓΩΓΕΙΟ ΣΑΛΑΜΙΝΑΣ</t>
  </si>
  <si>
    <t>mail@2nip-salam.att.sch.gr</t>
  </si>
  <si>
    <t>ΣΑΛΑΜΙΝΑΣ</t>
  </si>
  <si>
    <t>Λ. ΣΑΛΑΜΙΝΑΣ 254</t>
  </si>
  <si>
    <t>16ο ΔΗΜΟΤΙΚΟ ΣΧΟΛΕΙΟ ΚΟΡΥΔΑΛΛΟΥ</t>
  </si>
  <si>
    <t>mail@16dim-koryd.att.sch.gr</t>
  </si>
  <si>
    <t>ΚΟΡΥΔΑΛΛΟΥ</t>
  </si>
  <si>
    <t>ΚΟΡΥΔΑΛΛΟΣ</t>
  </si>
  <si>
    <t>ΑΓΙΟΥ ΓΕΩΡΓΙΟΥ 62</t>
  </si>
  <si>
    <t>3ο ΔΗΜΟΤΙΚΟ ΣΧΟΛΕΙΟ ΔΡΑΠΕΤΣΩΝΑΣ</t>
  </si>
  <si>
    <t>mail@3dim-drapets.att.sch.gr</t>
  </si>
  <si>
    <t>ΜΠΟΤΣΑΡΗ 6</t>
  </si>
  <si>
    <t>29ο ΔΗΜΟΤΙΚΟ ΣΧΟΛΕΙΟ ΠΕΙΡΑΙΑ</t>
  </si>
  <si>
    <t>mail@29dim-peiraia.att.sch.gr</t>
  </si>
  <si>
    <t>ΖΕΑΣ 81</t>
  </si>
  <si>
    <t>3ο  ΝΗΠΙΑΓΩΓΕΙΟ ΣΑΛΑΜΙΝΑΣ</t>
  </si>
  <si>
    <t>mail@3nip-salam.att.sch.gr</t>
  </si>
  <si>
    <t>ΙΠΠΟΚΡΑΤΟΥΣ 120</t>
  </si>
  <si>
    <t>21ο ΔΗΜΟΤΙΚΟ ΣΧΟΛΕΙΟ ΚΕΡΑΤΣΙΝΙΟΥ</t>
  </si>
  <si>
    <t>mail@21dim-kerats.att.sch.gr</t>
  </si>
  <si>
    <t xml:space="preserve">Κερατσίνι </t>
  </si>
  <si>
    <t>ΒΟΣΠΟΡΟΥ ΚΑΙ ΠΑΛΑΙΟΛΟΓΟΥ</t>
  </si>
  <si>
    <t>1ο ΝΗΠΙΑΓΩΓΕΙΟ ΠΕΙΡΑΙΑ</t>
  </si>
  <si>
    <t>mail@1nip-peiraia.att.sch.gr</t>
  </si>
  <si>
    <t>ΔΕΡΒΕΝΑΚΙΩΝ 106</t>
  </si>
  <si>
    <t>32ο ΟΛΟΗΜΕΡΟ ΔΗΜΟΤΙΚΟ ΣΧΟΛΕΙΟ ΠΕΙΡΑΙΑ</t>
  </si>
  <si>
    <t>mail@32dim-peiraia.att.sch.gr</t>
  </si>
  <si>
    <t>Μ.ΧΑΤΖΗΚΥΡΙΑΚΟΥ 27</t>
  </si>
  <si>
    <t>8ο ΝΗΠΙΑΓΩΓΕΙΟ ΠΕΡΑΜΑΤΟΣ</t>
  </si>
  <si>
    <t>mail@8nip-peram.att.sch.gr</t>
  </si>
  <si>
    <t>ΜΕΓΑΛΟΥ ΑΛΕΞΑΝΔΡΟΥ 165-167</t>
  </si>
  <si>
    <t>3ο ΟΛΟΗΜΕΡΟ ΔΗΜΟΤΙΚΟ ΣΧΟΛΕΙΟ ΠΕΙΡΑΙΑ</t>
  </si>
  <si>
    <t>mail@3dim-peiraia.att.sch.gr</t>
  </si>
  <si>
    <t>ΕΥΡΙΠΙΔΟΥ 5</t>
  </si>
  <si>
    <t>4ο ΝΗΠΙΑΓΩΓΕΙΟ ΠΕΙΡΑΙΑ</t>
  </si>
  <si>
    <t>mail@4nip-peiraia.att.sch.gr</t>
  </si>
  <si>
    <t>ΑΜΟΡΓΟΥ 16</t>
  </si>
  <si>
    <t>8ο ΟΛΟΗΜΕΡΟ ΝΗΠΙΑΓΩΓΕΙΟ ΠΕΙΡΑΙΑ</t>
  </si>
  <si>
    <t>mail@8nip-peiraia.att.sch.gr</t>
  </si>
  <si>
    <t>ΑΝΔΡΙΤΣΑΙΝΗΣ ΚΑΙ ΑΠΟΛΛΩΝΙΑΣ</t>
  </si>
  <si>
    <t>14ο ΝΗΠΙΑΓΩΓΕΙΟ ΠΕΙΡΑΙΑ</t>
  </si>
  <si>
    <t>mail@14nip-peiraia.att.sch.gr</t>
  </si>
  <si>
    <t>ΣΚΑΠΕΤΟΥ 10 ΚΑΙ ΦΡΑΓΚΟΥΛΗ</t>
  </si>
  <si>
    <t>16ο ΝΗΠΙΑΓΩΓΕΙΟ ΠΕΙΡΑΙΑ</t>
  </si>
  <si>
    <t>mail@16nip-peiraia.att.sch.gr</t>
  </si>
  <si>
    <t>ΧΡΥΣΟΣΤΟΜΟΥ ΣΜΥΡΝΗΣ 54</t>
  </si>
  <si>
    <t>31ο ΟΛΟΗΜΕΡΟ ΝΗΠΙΑΓΩΓΕΙΟ ΠΕΙΡΑΙΑ</t>
  </si>
  <si>
    <t>mail@31nip-peiraia.att.sch.gr</t>
  </si>
  <si>
    <t>ΑΡΓΥΡΟΚΑΣΤΡΟΥ 37</t>
  </si>
  <si>
    <t>54ο ΝΗΠΙΑΓΩΓΕΙΟ ΠΕΙΡΑΙΑ</t>
  </si>
  <si>
    <t>mail@54nip-peiraia.att.sch.gr</t>
  </si>
  <si>
    <t>ΝΑΞΟΥ ΚΑΙ ΠΡΟΠΟΝΤΙΔΟΣ</t>
  </si>
  <si>
    <t>1ο  ΝΗΠΙΑΓΩΓΕΙΟ ΝΙΚΑΙΑΣ</t>
  </si>
  <si>
    <t>mail@1nip-nikaias.att.sch.gr</t>
  </si>
  <si>
    <t>ΙΩΝΙΑΣ ΚΑΙ ΓΡΕΒΕΝΩΝ</t>
  </si>
  <si>
    <t>2ο ΝΗΠΙΑΓΩΓΕΙΟ ΝΙΚΑΙΑΣ</t>
  </si>
  <si>
    <t>mail@2nip-nikaias.att.sch.gr</t>
  </si>
  <si>
    <t>ΙΩΝΙΑΣ-ΑΜΥΡΑΔΑΚΗ</t>
  </si>
  <si>
    <t>3ο ΝΗΠΙΑΓΩΓΕΙΟ ΝΙΚΑΙΑΣ</t>
  </si>
  <si>
    <t>mail@3nip-nikaias.att.sch.gr</t>
  </si>
  <si>
    <t>ΡΑΙΔΕΣΤΟΥ 17</t>
  </si>
  <si>
    <t>4ο ΝΗΠΙΑΓΩΓΕΙΟ ΝΙΚΑΙΑΣ</t>
  </si>
  <si>
    <t>mail@4nip-nikaias.att.sch.gr</t>
  </si>
  <si>
    <t>ΚΑΙΣΑΡΕΙΑΣ ΚΑΙ ΒΟΣΠΟΡΟΥ</t>
  </si>
  <si>
    <t>5ο ΝΗΠΙΑΓΩΓΕΙΟ ΝΙΚΑΙΑΣ</t>
  </si>
  <si>
    <t>mail@5nip-nikaias.att.sch.gr</t>
  </si>
  <si>
    <t>ΜΟΥΣΩΝ ΚΑΙ ΛΥΚΟΥΡΓΟΥ</t>
  </si>
  <si>
    <t>8ο ΝΗΠΙΑΓΩΓΕΙΟ ΝΙΚΑΙΑΣ</t>
  </si>
  <si>
    <t>mail@8nip-nikaias.att.sch.gr</t>
  </si>
  <si>
    <t>ΥΨΗΛΑΝΤΟΥ 3</t>
  </si>
  <si>
    <t>13ο ΝΗΠΙΑΓΩΓΕΙΟ ΝΙΚΑΙΑΣ</t>
  </si>
  <si>
    <t>mail@13nip-nikaias.att.sch.gr</t>
  </si>
  <si>
    <t>ΠΡΑΞΙΤΕΛΟΥΣ 59</t>
  </si>
  <si>
    <t>16ο ΝΗΠΙΑΓΩΓΕΙΟ ΝΙΚΑΙΑΣ</t>
  </si>
  <si>
    <t>mail@16nip-nikaias.att.sch.gr</t>
  </si>
  <si>
    <t>17ο  ΝΗΠΙΑΓΩΓΕΙΟ ΝΙΚΑΙΑΣ</t>
  </si>
  <si>
    <t>mail@17nip-nikaias.att.sch.gr</t>
  </si>
  <si>
    <t>Π.ΡΑΛΛΗ 432</t>
  </si>
  <si>
    <t>18ο ΝΗΠΙΑΓΩΓΕΙΟ ΝΙΚΑΙΑΣ</t>
  </si>
  <si>
    <t>mail@18nip-nikaias.att.sch.gr</t>
  </si>
  <si>
    <t>ΑΧΙΛΛΕΩΣ ΚΑΙ ΠΟΣΕΙΔΩΝΟΣ</t>
  </si>
  <si>
    <t>14ο ΝΗΠΙΑΓΩΓΕΙΟ ΝΙΚΑΙΑΣ</t>
  </si>
  <si>
    <t>mail@14nip-nikaias.att.sch.gr</t>
  </si>
  <si>
    <t>ΗΛΙΟΥΠΟΛΕΩΣ ΚΑΙ ΚΙΛΙΚΙΑΣ</t>
  </si>
  <si>
    <t>19ο ΝΗΠΙΑΓΩΓΕΙΟ ΝΙΚΑΙΑΣ</t>
  </si>
  <si>
    <t>mail@19nip-nikaias.att.sch.gr</t>
  </si>
  <si>
    <t>20ο ΝΗΠΙΑΓΩΓΕΙΟ ΝΙΚΑΙΑΣ</t>
  </si>
  <si>
    <t>mail@20nip-nikaias.att.sch.gr</t>
  </si>
  <si>
    <t>25ο  ΝΗΠΙΑΓΩΓΕΙΟ ΝΙΚΑΙΑΣ</t>
  </si>
  <si>
    <t>mail@25nip-nikaias.att.sch.gr</t>
  </si>
  <si>
    <t>Π. ΡΑΛΛΗ ΚΑΙ ΚΥΠΡΟΥ 61</t>
  </si>
  <si>
    <t>15ο ΝΗΠΙΑΓΩΓΕΙΟ ΝΙΚΑΙΑΣ</t>
  </si>
  <si>
    <t>mail@15nip-nikaias.att.sch.gr</t>
  </si>
  <si>
    <t>ΑΚΡΟΠΟΛΕΩΣ ΠΑΝΤΕΙΧΙΟΥ  77</t>
  </si>
  <si>
    <t>24ο ΝΗΠΙΑΓΩΓΕΙΟ ΝΙΚΑΙΑΣ</t>
  </si>
  <si>
    <t>mail@24nip-nikaias.att.sch.gr</t>
  </si>
  <si>
    <t>ΚΑΡΑΙΣΚΑΚΗ 66</t>
  </si>
  <si>
    <t>23ο ΝΗΠΙΑΓΩΓΕΙΟ ΝΙΚΑΙΑΣ</t>
  </si>
  <si>
    <t>mail@23nip-nikaias.att.sch.gr</t>
  </si>
  <si>
    <t>ΣΗΣΤΟΥ ΚΑΙ ΠΑΡΑΣΚΕΥΟΠΟΥΛΟΥ</t>
  </si>
  <si>
    <t>10ο ΝΗΠΙΑΓΩΓΕΙΟ ΝΙΚΑΙΑΣ</t>
  </si>
  <si>
    <t>mail@10nip-nikaias.att.sch.gr</t>
  </si>
  <si>
    <t>2ο ΔΗΜΟΤΙΚΟ ΣΧΟΛΕΙΟ ΣΑΛΑΜΙΝΑΣ</t>
  </si>
  <si>
    <t>mail@2dim-salam.att.sch.gr</t>
  </si>
  <si>
    <t>ΣΑΛΑΜΙΝΑ</t>
  </si>
  <si>
    <t>ΛΕΩΦ. ΣΑΛΑΜΙΝΑΣ 252</t>
  </si>
  <si>
    <t>1ο ΔΗΜΟΤΙΚΟ ΣΧΟΛΕΙΟ ΔΡΑΠΕΤΣΩΝΑΣ</t>
  </si>
  <si>
    <t>1dimdrap@sch.gr</t>
  </si>
  <si>
    <t>Δραπετσώνα</t>
  </si>
  <si>
    <t>Αγγ. Σικελιανού 161</t>
  </si>
  <si>
    <t>2ο ΟΛΟΗΜΕΡΟ ΔΗΜΟΤΙΚΟ ΣΧΟΛΕΙΟ ΔΡΑΠΕΤΣΩΝΑΣ</t>
  </si>
  <si>
    <t>mail@2dim-drapets.att.sch.gr</t>
  </si>
  <si>
    <t>ΑΡΙΣΤΟΤΕΛΟΥΣ 59</t>
  </si>
  <si>
    <t>6ο ΔΗΜΟΤΙΚΟ ΣΧΟΛΕΙΟ ΚΟΡΥΔΑΛΛΟΥ</t>
  </si>
  <si>
    <t>mail@6dim-koryd.att.sch.gr</t>
  </si>
  <si>
    <t>ΣΥΓΚΡΟΤΗΜΑ ΣΧΟΛΙΚΩΝ ΚΤΗΡΙΩΝ</t>
  </si>
  <si>
    <t>34ο ΔΗΜΟΤΙΚΟ ΣΧΟΛΕΙΟ ΠΕΙΡΑΙΑ</t>
  </si>
  <si>
    <t>mail@34dim-peiraia.att.sch.gr</t>
  </si>
  <si>
    <t>ΑΝΔΡΙΑΝΟΠΟΥΛΟΥ 10</t>
  </si>
  <si>
    <t>3ο ΔΗΜΟΤΙΚΟ ΣΧΟΛΕΙΟ ΚΟΡΥΔΑΛΛΟΥ</t>
  </si>
  <si>
    <t>mail@3dim-koryd.att.sch.gr</t>
  </si>
  <si>
    <t>ΖΩΟΔΟΧΟΥ ΠΗΓΗΣ 14</t>
  </si>
  <si>
    <t>2ο ΔΗΜΟΤΙΚΟ ΣΧΟΛΕΙΟ ΠΕΙΡΑΙΑ "ΟΥΡΟΥΓΟΥΑΗ"</t>
  </si>
  <si>
    <t>mail@2dim-peiraia.att.sch.gr</t>
  </si>
  <si>
    <t>ΚΑΡΑΪΣΚΟΥ 50</t>
  </si>
  <si>
    <t>40ο ΟΛΟΗΜΕΡΟ ΔΗΜΟΤΙΚΟ ΣΧΟΛΕΙΟ ΠΕΙΡΑΙΑ</t>
  </si>
  <si>
    <t>mail@40dim-peiraia.att.sch.gr</t>
  </si>
  <si>
    <t>ΠΟΡΟΥ 5</t>
  </si>
  <si>
    <t>3ο ΟΛΟΗΜΕΡΟ ΔΗΜΟΤΙΚΟ ΣΧΟΛΕΙΟ ΑΓΙΟΥ ΙΩΑΝΝΗ ΡΕΝΤΗ</t>
  </si>
  <si>
    <t>mail@3dim-ag-ioann.att.sch.gr</t>
  </si>
  <si>
    <t>ΑΓΙΟΣ ΙΩΑΝΝΗΣ ΡΕΝΤΗΣ</t>
  </si>
  <si>
    <t>ΔΙΣΤΟΜΟΥ 21</t>
  </si>
  <si>
    <t>2ο ΔΗΜΟΤΙΚΟ ΣΧΟΛΕΙΟ ΚΟΡΥΔΑΛΛΟΥ</t>
  </si>
  <si>
    <t>mail@2dim-koryd.att.sch.gr</t>
  </si>
  <si>
    <t>ΣΠΕΤΣΩΝ 30</t>
  </si>
  <si>
    <t>3ο ΟΛΟΗΜΕΡΟ ΔΗΜΟΤΙΚΟ ΣΧΟΛΕΙΟ ΣΑΛΑΜΙΝΑΣ</t>
  </si>
  <si>
    <t>mail@3dim-salam.att.sch.gr</t>
  </si>
  <si>
    <t>ΠΙΝΔΟΥ 2</t>
  </si>
  <si>
    <t>11ο ΝΗΠΙΑΓΩΓΕΙΟ ΝΙΚΑΙΑΣ</t>
  </si>
  <si>
    <t>mail@11nip-nikaias.att.sch.gr</t>
  </si>
  <si>
    <t>ΠΑΝΤΕΙΧΙΟΥ ΚΑΙ ΑΚΡΟΠΟΛΕΩΣ</t>
  </si>
  <si>
    <t>3ο ΝΗΠΙΑΓΩΓΕΙΟ ΚΕΡΑΤΣΙΝΙΟΥ</t>
  </si>
  <si>
    <t>mail@3nip-kerats.att.sch.gr</t>
  </si>
  <si>
    <t>ΠΙΤΤΑΚΟΥ ΠΟΛΥΔΕΥΚΟΥΣ 1</t>
  </si>
  <si>
    <t>24ο ΝΗΠΙΑΓΩΓΕΙΟ ΠΕΙΡΑΙΑ</t>
  </si>
  <si>
    <t>mail@24nip-peiraia.att.sch.gr</t>
  </si>
  <si>
    <t>ΧΑΤΖΗΚΥΡΙΑΚΟΥ 2</t>
  </si>
  <si>
    <t>12ο ΝΗΠΙΑΓΩΓΕΙΟ ΝΙΚΑΙΑΣ - ΟΛΟΗΜΕΡΟ  ΚΩΔΙΚΟΣ ΣΧΟΛΙΚΗΣ ΜΟΝΑΔΑΣ 9520287</t>
  </si>
  <si>
    <t>mail@12nip-nikaias.att.sch.gr</t>
  </si>
  <si>
    <t>ΣΙΚΕΛΙΑΝΟΥ 26</t>
  </si>
  <si>
    <t>21ο ΝΗΠΙΑΓΩΓΕΙΟ ΝΙΚΑΙΑΣ  κωδικός σχολείου 9520321</t>
  </si>
  <si>
    <t>mail@21nip-nikaias.att.sch.gr</t>
  </si>
  <si>
    <t>4ο ΟΛΟΗΜΕΡΟ ΔΗΜΟΤΙΚΟ ΣΧΟΛΕΙΟ ΑΓΙΟΥ ΙΩΑΝΝΗ ΡΕΝΤΗ</t>
  </si>
  <si>
    <t>mail@4dim-ag-ioann.att.sch.gr</t>
  </si>
  <si>
    <t>ΑΓ. ΙΩΑΝΝΗΣ ΡΕΝΤΗ</t>
  </si>
  <si>
    <t>ΝΑΞΟΥ 60-64  &amp; ΜΕΓ. ΑΛΕΞΑΝΔΡΟΥ</t>
  </si>
  <si>
    <t>1ο  ΔΗΜΟΤΙΚΟ ΣΧΟΛΕΙΟ ΑΓΙΟΥ ΙΩΑΝΝΟΥ ΡΕΝΤΗ</t>
  </si>
  <si>
    <t>mail@1dim-ag-ioann.att.sch.gr</t>
  </si>
  <si>
    <t>17ο ΝΗΠΙΑΓΩΓΕΙΟ ΚΕΡΑΤΣΙΝΙΟΥ</t>
  </si>
  <si>
    <t>mail@17nip-kerats.att.sch.gr</t>
  </si>
  <si>
    <t>ΔΕΜΕΡΤΖΗ Κ ΠΑΛΑΜΗΔΙΟΥ</t>
  </si>
  <si>
    <t>9ο  ΝΗΠΙΑΓΩΓΕΙΟ ΝΙΚΑΙΑΣ</t>
  </si>
  <si>
    <t>mail@9nip-nikaias.att.sch.gr</t>
  </si>
  <si>
    <t>ΕΠΟΝΙΤΩΝ  2</t>
  </si>
  <si>
    <t>56ο ΔΗΜΟΤΙΚΟ ΣΧΟΛΕΙΟ ΠΕΙΡΑΙΑ</t>
  </si>
  <si>
    <t>mail@56dim-peiraia.att.sch.gr</t>
  </si>
  <si>
    <t>ΚΛΕΙΣΟΒΗΣ 18</t>
  </si>
  <si>
    <t>8ο ΔΗΜΟΤΙΚΟ ΣΧΟΛΕΙΟ ΚΟΡΥΔΑΛΛΟΥ</t>
  </si>
  <si>
    <t>mail@8dim-koryd.att.sch.gr</t>
  </si>
  <si>
    <t>ΣΥΓΚΡΟΤΗΜΑ ΣΧΟΛΙΚΩΝ ΚΤΙΡΙΩΝ ΚΟΡΥΔΑΛΛΟΥ</t>
  </si>
  <si>
    <t>7ο ΝΗΠΙΑΓΩΓΕΙΟ ΣΑΛΑΜΙΝΑΣ</t>
  </si>
  <si>
    <t>mail@7nip-salam.att.sch.gr</t>
  </si>
  <si>
    <t>ΕΥΡΙΠΙΔΟΥ-ΠΑΠΑΝΔΡΕΟΥ</t>
  </si>
  <si>
    <t>5ο ΔΗΜΟΤΙΚΟ ΣΧΟΛΕΙΟ ΠΕΡΑΜΑΤΟΣ</t>
  </si>
  <si>
    <t>mail@5dim-peram.att.sch.gr</t>
  </si>
  <si>
    <t>ΠΕΡΑΜΑ</t>
  </si>
  <si>
    <t>ΠΑΠΑΔΙΑΜΑΝΤΗ 2</t>
  </si>
  <si>
    <t>6ο ΔΗΜΟΤΙΚΟ ΣΧΟΛΕΙΟ ΠΕΡΑΜΑΤΟΣ</t>
  </si>
  <si>
    <t>mail@6dim-peram.att.sch.gr</t>
  </si>
  <si>
    <t>ΠΕΡΑΜΑ ΑΤΤΙΚΗΣ</t>
  </si>
  <si>
    <t>Ευρυβιάδου 7</t>
  </si>
  <si>
    <t>13ο ΔΗΜΟΤΙΚΟ ΣΧΟΛΕΙΟ ΝΙΚΑΙΑΣ</t>
  </si>
  <si>
    <t>mail@13dim-nikaias.att.sch.gr</t>
  </si>
  <si>
    <t>ΣΟΦΟΚΛΕΟΥΣ 41</t>
  </si>
  <si>
    <t>23ο ΔΗΜΟΤΙΚΟ ΣΧΟΛΕΙΟ ΠΕΙΡΑΙΑ</t>
  </si>
  <si>
    <t>mail@23dim-peiraia.att.sch.gr</t>
  </si>
  <si>
    <t>ΞΑΝΘΟΠΟΥΛΙΔΟΥ 23</t>
  </si>
  <si>
    <t>10ο ΝΗΠΙΑΓΩΓΕΙΟ ΚΟΡΥΔΑΛΛΟΥ</t>
  </si>
  <si>
    <t>mail@10nip-koryd.att.sch.gr</t>
  </si>
  <si>
    <t>ΚΟΥΝΤΟΥΡΙΩΤΟΥ 25</t>
  </si>
  <si>
    <t>38ο ΟΛΟΗΜΕΡΟ ΔΗΜΟΤΙΚΟ ΣΧΟΛΕΙΟ ΠΕΙΡΑΙΑΣ</t>
  </si>
  <si>
    <t>mail@38dim-peiraia.att.sch.gr</t>
  </si>
  <si>
    <t>ΒΑΣΙΛΕΩΣ ΓΕΩΡΓΙΟΥ Β 12</t>
  </si>
  <si>
    <t>9ο ΝΗΠΙΑΓΩΓΕΙΟ ΚΟΡΥΔΑΛΛΟΥ</t>
  </si>
  <si>
    <t>mail@9nip-koryd.att.sch.gr</t>
  </si>
  <si>
    <t>ΚΥΠΡΟΥ 16</t>
  </si>
  <si>
    <t>6ο ΝΗΠΙΑΓΩΓΕΙΟ ΚΕΡΑΤΣΙΝΙΟΥ</t>
  </si>
  <si>
    <t>mail@6nip-kerats.att.sch.gr</t>
  </si>
  <si>
    <t>ΕΙΡΗΝΗΣ49 ΚΑΙ ΟΙΤΗΣ</t>
  </si>
  <si>
    <t>2ο ΟΛΟΗΜΕΡΟ ΝΗΠΙΑΓΩΓΕΙΟ ΚΟΡΥΔΑΛΛΟΥ</t>
  </si>
  <si>
    <t>mail@2nip-koryd.att.sch.gr</t>
  </si>
  <si>
    <t>ΧΑΡ,ΤΡΙΚΟΥΠΗ ΚΑΙ ΚΟΡΑΗ 16Β</t>
  </si>
  <si>
    <t>12ο ΔΗΜΟΤΙΚΟ ΣΧΟΛΕΙΟ ΚΟΡΥΔΑΛΛΟΥ</t>
  </si>
  <si>
    <t>mail@12dim-koryd.att.sch.gr</t>
  </si>
  <si>
    <t>ΕΥΡΥΤΑΝΙΑΣ 2</t>
  </si>
  <si>
    <t>15ο  ΝΗΠΙΑΓΩΓΕΙΟ ΚΟΡΥΔΑΛΛΟΣ</t>
  </si>
  <si>
    <t>mail@15nip-koryd.att.sch.gr</t>
  </si>
  <si>
    <t>ΜΕΣΟΓΕΙΩΝ ΚΑΙ ΑΓΙΟΥ ΝΙΚΟΛΑΟΥ 15</t>
  </si>
  <si>
    <t>19ο  ΔΗΜΟΤΙΚΟ ΣΧΟΛΕΙΟ ΝΙΚΑΙΑΣ</t>
  </si>
  <si>
    <t>mail@19dim-nikaias.att.sch.gr</t>
  </si>
  <si>
    <t>ΠΛΑΤΕΙΑ ΑΝΑΛΗΨΕΩΣ 1-ΝΕΑΠΟΛΗ</t>
  </si>
  <si>
    <t>14ο ΔΗΜΟΤΙΚΟ ΣΧΟΛΕΙΟ ΚΕΡΑΤΣΙΝΙΟΥ</t>
  </si>
  <si>
    <t>mail@14dim-kerats.att.sch.gr</t>
  </si>
  <si>
    <t>Κερατσίνι</t>
  </si>
  <si>
    <t>Δεμερτζή &amp; Παλαμηδίου</t>
  </si>
  <si>
    <t>5ο ΔΗΜΟΤΙΚΟ ΣΧΟΛΕΙΟ ΚΟΡΥΔΑΛΛΟΥ</t>
  </si>
  <si>
    <t>mail@5dim-koryd.att.sch.gr</t>
  </si>
  <si>
    <t>ΣΤΑΜΑΤΟΠΟΥΛΟΥ 1 ΚΑΙ ΔΙΟΓΕΝΟΥΣ</t>
  </si>
  <si>
    <t>10ο ΔΗΜΟΤΙΚΟ ΣΧΟΛΕΙΟ ΚΟΡΥΔΑΛΛΟΥ</t>
  </si>
  <si>
    <t>mail@10dim-koryd.att.sch.gr</t>
  </si>
  <si>
    <t>ΚΑΡΑΟΛΗ-ΔΗΜΗΤΡΙΟΥ ΚΑΙ ΚΑΡΑΒΑ 62</t>
  </si>
  <si>
    <t>55ο ΟΛΟΗΜΕΡΟ ΔΗΜΟΤΙΚΟ ΣΧΟΛΕΙΟ ΠΕΙΡΑΙΑ</t>
  </si>
  <si>
    <t>mail@55dim-peiraia.att.sch.gr</t>
  </si>
  <si>
    <t>ΦΡΑΓΚΙΑΔΩΝ 57</t>
  </si>
  <si>
    <t>4ο ΔΗΜΟΤΙΚΟ ΣΧΟΛΕΙΟ ΔΡΑΠΕΤΣΩΝΑΣ</t>
  </si>
  <si>
    <t>mail@4dim-drapets.att.sch.gr</t>
  </si>
  <si>
    <t>Μ. ΜΠΟΤΣΑΡΗ 48</t>
  </si>
  <si>
    <t>27ο ΔΗΜΟΤΙΚΟ ΣΧΟΛΕΙΟ ΝΙΚΑΙΑΣ</t>
  </si>
  <si>
    <t>mail@27dim-nikaias.att.sch.gr</t>
  </si>
  <si>
    <t>ΚΑΡΑΪΣΚΑΚΗ 66 &amp; ΘΗΒΩΝ</t>
  </si>
  <si>
    <t>5ο ΔΗΜΟΤΙΚΟ ΣΧΟΛΕΙΟ ΑΓΙΟΥ ΙΩΑΝΝΗ ΡΕΝΤΗ</t>
  </si>
  <si>
    <t>mail@5dim-renti.att.sch.gr</t>
  </si>
  <si>
    <t>ΠΑΝΤΕΛΗ ΝΙΚΟΛΑΪΔΗ 21</t>
  </si>
  <si>
    <t>7ο  ΝΗΠΙΑΓΩΓΕΙΟ ΚΟΡΥΔΑΛΛΟΥ</t>
  </si>
  <si>
    <t>mail@7nip-koryd.att.sch.gr</t>
  </si>
  <si>
    <t>ΑΙΣΧΥΛΟΥ ΚΑΙ ΗΣΙΟΔΟΥ 25</t>
  </si>
  <si>
    <t>22ο ΟΛΟΗΜΕΡΟ ΔΗΜΟΤΙΚΟ ΣΧΟΛΕΙΟ ΠΕΙΡΑΙΑΣ</t>
  </si>
  <si>
    <t>mail@22dim-peiraia.att.sch.gr</t>
  </si>
  <si>
    <t>Λ.ΧΑΤΖΗΚΥΡΙΑΚΟΥ 2</t>
  </si>
  <si>
    <t>9ο ΔΗΜΟΤΙΚΟ ΣΧΟΛΕΙΟ ΝΙΚΑΙΑΣ</t>
  </si>
  <si>
    <t>mail@9dim-nikaias.att.sch.gr</t>
  </si>
  <si>
    <t>1ο ΔΗΜΟΤΙΚΟ ΣΧΟΛΕΙΟ ΣΑΛΑΜΙΝΑΣ</t>
  </si>
  <si>
    <t>mail@1dim-salam.att.sch.gr</t>
  </si>
  <si>
    <t>ΜΑΡΑΘΩΝΟΣ 78</t>
  </si>
  <si>
    <t>50ο ΟΛΟΗΜΕΡΟ ΔΗΜΟΤΙΚΟ ΣΧΟΛΕΙΟ ΠΕΙΡΑΙΑ</t>
  </si>
  <si>
    <t>mail@50dim-peiraia.att.sch.gr</t>
  </si>
  <si>
    <t>ΠΛ. ΚΑΛΑΒΡΥΤΩΝ</t>
  </si>
  <si>
    <t>44ο ΔΗΜΟΤΙΚΟ ΣΧΟΛΕΙΟ ΠΕΙΡΑΙΑ</t>
  </si>
  <si>
    <t>mail@44dim-peiraia.att.sch.gr</t>
  </si>
  <si>
    <t>Πειραιάς</t>
  </si>
  <si>
    <t>ΒΑΛΕΡΙΟΥ ΣΤΑΗ 11</t>
  </si>
  <si>
    <t>8ο ΝΗΠΙΑΓΩΓΕΙΟ ΚΟΡΥΔΑΛΛΟΥ</t>
  </si>
  <si>
    <t>mail@8nip-koryd.att.sch.gr</t>
  </si>
  <si>
    <t>ΚΟΖΑΝΗΣ 30</t>
  </si>
  <si>
    <t>1ο ΝΗΠΙΑΓΩΓΕΙΟ ΚΕΡΑΤΣΙΝΙΟΥ</t>
  </si>
  <si>
    <t>mail@1nip-kerats.att.sch.gr</t>
  </si>
  <si>
    <t>ΣΗΣΤΟΥ 4</t>
  </si>
  <si>
    <t>4ο ΝΗΠΙΑΓΩΓΕΙΟ ΚΟΡΥΔΑΛΛΟΥ</t>
  </si>
  <si>
    <t>mail@4nip-koryd.att.sch.gr</t>
  </si>
  <si>
    <t>ΥΔΡΑΣ ΚΑΙ ΚΟΛΟΚΟΤΡΩΝΗ 138</t>
  </si>
  <si>
    <t>1ο ΝΗΠΙΑΓΩΓΕΙΟ ΚΟΡΥΔΑΛΛΟΥ</t>
  </si>
  <si>
    <t>mail@1nip-koryd.att.sch.gr</t>
  </si>
  <si>
    <t>ΜΙΚΡΑΣ ΑΣΙΑΣ ΚΑΙ ΧΕΙΜΑΡΡΑΣ</t>
  </si>
  <si>
    <t>ΔΗΜΟΤΙΚΟ ΣΧΟΛΕΙΟ ΜΕΘΑΝΩΝ</t>
  </si>
  <si>
    <t>mail@dim-methan.att.sch.gr</t>
  </si>
  <si>
    <t>ΤΡΟΙΖΗΝΙΑΣ-ΜΕΘΑΝΩΝ</t>
  </si>
  <si>
    <t>ΜΕΘΑΝΑ</t>
  </si>
  <si>
    <t>5ο ΝΗΠΙΑΓΩΓΕΙΟ ΚΟΡΥΔΑΛΛΟΥ</t>
  </si>
  <si>
    <t>mail@5nip-koryd.att.sch.gr</t>
  </si>
  <si>
    <t>ΘΗΣΕΙΟΥ 12</t>
  </si>
  <si>
    <t>4ο ΔΗΜΟΤΙΚΟ ΣΧΟΛΕΙΟ ΚΟΡΥΔΑΛΛΟΥ</t>
  </si>
  <si>
    <t>mail@4dim-koryd.att.sch.gr</t>
  </si>
  <si>
    <t>ΜΕΣΟΓΕΙΩΝ ΚΑΙ ΑΓΙΟΥ ΝΙΚΟΛΑΟΥ</t>
  </si>
  <si>
    <t>2ο ΔΗΜΟΤΙΚΟ ΣΧΟΛΕΙΟ ΑΙΓΙΝΑΣ</t>
  </si>
  <si>
    <t>mail@2dim-aigin.att.sch.gr</t>
  </si>
  <si>
    <t>ΑΙΓΙΝΑΣ</t>
  </si>
  <si>
    <t>ΑΙΓΙΝΑ</t>
  </si>
  <si>
    <t>ΚΥΒΕΡΝΕΙΟΥ 14</t>
  </si>
  <si>
    <t>ΟΛΟΗΜΕΡΟ ΔΗΜΟΤΙΚΟ ΣΧΟΛΕΙΟ ΑΓΙΩΝ ΑΣΩΜΑΤΩΝ</t>
  </si>
  <si>
    <t>mail@dim-ag-asomat.att.sch.gr</t>
  </si>
  <si>
    <t>ΑΓΙΟΙ ΑΣΩΜΑΤΟΙ,  ΑΙΓΙΝΑΣ</t>
  </si>
  <si>
    <t>ΑΦΑΙΑΣ 200</t>
  </si>
  <si>
    <t>2ο  ΝΗΠΙΑΓΩΓΕΙΟ ΑΓ.Ι.ΡΕΝΤΗ</t>
  </si>
  <si>
    <t>mail@2nip-ag-ioann.att.sch.gr</t>
  </si>
  <si>
    <t>ΑΓ.Ι.ΡΕΝΤΗ</t>
  </si>
  <si>
    <t>ΕΛΕΥΘΕΡΙΑΣ</t>
  </si>
  <si>
    <t>ΔΗΜΟΤΙΚΟ ΣΧΟΛΕΙΟ ΓΑΛΑΤΑ</t>
  </si>
  <si>
    <t>mail@1dim-galat.att.sch.gr</t>
  </si>
  <si>
    <t>ΓΑΛΑΤΑΣ</t>
  </si>
  <si>
    <t>ΓΑΛΑΤΑΣ ΤΡΟΙΖΗΝΙΑΣ</t>
  </si>
  <si>
    <t>1ο ΝΗΠΙΑΓΩΓΕΙΟ ΠΟΡΟΥ</t>
  </si>
  <si>
    <t>mail@1nip-porou.att.sch.gr</t>
  </si>
  <si>
    <t>ΠΟΡΟΥ</t>
  </si>
  <si>
    <t>ΠΟΡΟΣ</t>
  </si>
  <si>
    <t>1ο  ΝΗΠΙΑΓΩΓΕΙΟ ΓΑΛΑΤΑ</t>
  </si>
  <si>
    <t>mail@1nip-galat.att.sch.gr</t>
  </si>
  <si>
    <t>28ης ΟΚΤΩΒΡΙΟΥ 16</t>
  </si>
  <si>
    <t>2ο  ΔΗΜΟΤΙΚΟ ΣΧΟΛΕΙΟ ΠΟΡΟΥ</t>
  </si>
  <si>
    <t>mail@2dim-porou.att.sch.gr</t>
  </si>
  <si>
    <t>Πόρος</t>
  </si>
  <si>
    <t>Πόρος Αττικής</t>
  </si>
  <si>
    <t>1ο ΟΛΟΗΜΕΡΟ ΔΗΜΟΤΙΚΟ ΣΧΟΛΕΙΟ ΥΔΡΑΣ</t>
  </si>
  <si>
    <t>mail@1dim-ydras.att.sch.gr</t>
  </si>
  <si>
    <t>ΥΔΡΑΣ</t>
  </si>
  <si>
    <t>ΥΔΡΑ</t>
  </si>
  <si>
    <t>43ο ΟΛΟΗΜΕΡΟ ΔΗΜΟΤΙΚΟ ΣΧΟΛΕΙΟ ΠΕΙΡΑΙΑ - ΚΩΣΤΗΣ ΠΑΛΑΜΑΣ</t>
  </si>
  <si>
    <t>mail@43dim-peiraia.att.sch.gr</t>
  </si>
  <si>
    <t>ΚΑΛΑΜΩΝ 38</t>
  </si>
  <si>
    <t>21ο ΔΗΜΟΤΙΚΟ ΣΧΟΛΕΙΟ ΠΕΙΡΑΙΑ</t>
  </si>
  <si>
    <t>mail@21dim-peiraia.att.sch.gr</t>
  </si>
  <si>
    <t>ΛΟΥΚΑ ΡΑΛΛΗ 99</t>
  </si>
  <si>
    <t>ΟΛΟΗΜΕΡΟ ΔΗΜΟΤΙΚΟ ΣΧΟΛΕΙΟ  ΜΕΣΑΓΡΟΥ - ΑΓΙΑΣ ΜΑΡΙΝΑΣ</t>
  </si>
  <si>
    <t>mail@dim-mesagr.att.sch.gr</t>
  </si>
  <si>
    <t>ΜΕΣΑΓΡΟΣ ΑΙΓΙΝΑΣ</t>
  </si>
  <si>
    <t>ΜΕΣΑΓΡΟΣ</t>
  </si>
  <si>
    <t>ΟΛΟΗΜΕΡΟ ΔΗΜΟΤΙΚΟ ΣΧΟΛΕΙΟ ΚΥΨΕΛΗΣ</t>
  </si>
  <si>
    <t>mail@dim-kypsel.att.sch.gr</t>
  </si>
  <si>
    <t>ΚΥΨΕΛΗ</t>
  </si>
  <si>
    <t>ΕΥΑΓΓΕΛΙΣΤΡΙΑΣ 1</t>
  </si>
  <si>
    <t>1ο  ΟΛΟΗΜΕΡΟ ΔΗΜΟΤΙΚΟ ΣΧΟΛΕΙΟ ΑΙΓΙΝΑΣ</t>
  </si>
  <si>
    <t>mail@1dim-aigin.att.sch.gr</t>
  </si>
  <si>
    <t>ΦΑΝΕΡΩΜΕΝΗΣ 1</t>
  </si>
  <si>
    <t>8ο ΔΗΜΟΤΙΚΟ ΣΧΟΛΕΙΟ ΠΕΡΑΜΑΤΟΣ "ΣΤΑΥΡΟΣ ΚΑΛΛΩΝΗΣ"</t>
  </si>
  <si>
    <t>mail@8dim-peram.att.sch.gr</t>
  </si>
  <si>
    <t>ΑΡΙΣΤΟΦΑΝΟΥΣ 34</t>
  </si>
  <si>
    <t>2ο ΟΛΟΗΜΕΡΟ ΔΗΜΟΤΙΚΟ ΣΧΟΛΕΙΟ ΑΓΙΟΥ ΙΩΑΝΝΗ ΡΕΝΤΗ - ΑΝΤΩΝΗΣ ΣΑΜΑΡΑΚΗΣ</t>
  </si>
  <si>
    <t>mail@2dim-ag-ioann.att.sch.gr</t>
  </si>
  <si>
    <t>ΣΟΛΩΝΟΣ ΚΑΙ ΕΛΕΥΘΕΡΙΑΣ</t>
  </si>
  <si>
    <t>13ο ΝΗΠΙΑΓΩΓΕΙΟ ΚΟΡΥΔΑΛΛΟΥ</t>
  </si>
  <si>
    <t>mail@13nip-koryd.att.sch.gr</t>
  </si>
  <si>
    <t>ΑΓ.ΓΕΩΡΓΙΟΥ 64</t>
  </si>
  <si>
    <t>25ο ΝΗΠΙΑΓΩΓΕΙΟ ΚΟΡΥΔΑΛΛΟΥ</t>
  </si>
  <si>
    <t>mail@25nip-koryd.att.sch.gr</t>
  </si>
  <si>
    <t>Κορυδαλλός</t>
  </si>
  <si>
    <t>Μ.ΑΣΙΑΣ ΚΑΙ ΧΕΙΜΑΡΡΑΣ</t>
  </si>
  <si>
    <t>24ο ΔΗΜΟΤΙΚΟ ΣΧΟΛΕΙΟ ΚΕΡΑΤΣΙΝΙΟΥ</t>
  </si>
  <si>
    <t>mail@24dim-kerats.att.sch.gr</t>
  </si>
  <si>
    <t>ΚΕΡΑΤΣΙΝΙ</t>
  </si>
  <si>
    <t>ΚΑΪΡΗ ΚΑΙ ΣΗΣΤΟΥ</t>
  </si>
  <si>
    <t>23ο ΝΗΠΙΑΓΩΓΕΙΟ ΚΟΡΥΔΑΛΛΟΥ</t>
  </si>
  <si>
    <t>mail@23nip-koryd.att.sch.gr</t>
  </si>
  <si>
    <t>ΑΤΤΑΛΕΙΑΣ 152</t>
  </si>
  <si>
    <t>1ο ΔΗΜΟΤΙΚΟ ΣΧΟΛΕΙΟ ΝΙΚΑΙΑΣ</t>
  </si>
  <si>
    <t>mail@1dim-nikaias.att.sch.gr</t>
  </si>
  <si>
    <t>ΓΡΕΒΕΝΩΝ Κ ΙΩΝΙΑΣ</t>
  </si>
  <si>
    <t>4ο ΔΗΜΟΤΙΚΟ ΣΧΟΛΕΙΟ ΠΕΡΑΜΑΤΟΣ</t>
  </si>
  <si>
    <t>mail@4dim-peram.att.sch.gr</t>
  </si>
  <si>
    <t>ΓΡ. ΛΑΜΠΡΑΚΗ 2</t>
  </si>
  <si>
    <t>1ο ΔΩΔΕΚΑΘΕΣΙΟ ΡΑΛΛΕΙΩΝ ΠΕΙΡΑΜΑΤΙΚΩΝ ΔΗΜΟΤΙΚΩΝ ΣΧΟΛΕΙΩΝ ΤΟΥ ΠΑΝΕΠΙΣΤΗΜΙΟΥ ΑΘΗΝΩΝ</t>
  </si>
  <si>
    <t>mail@1dim-peir-peiraia.att.sch.gr</t>
  </si>
  <si>
    <t>17ο  ΝΗΠΙΑΓΩΓΕΙΟ ΚΟΡΥΔΑΛΛΟΥ</t>
  </si>
  <si>
    <t>mail@17nip-koryd.att.sch.gr</t>
  </si>
  <si>
    <t>ΤΑΞΙΑΡΧΩΝ 25</t>
  </si>
  <si>
    <t>6ο ΔΗΜΟΤΙΚΟ ΣΧΟΛΕΙΟ ΑΓΙΟΥ ΙΩΑΝΝΗ ΡΕΝΤΗ</t>
  </si>
  <si>
    <t>mail@6dim-ag-ioann.att.sch.gr</t>
  </si>
  <si>
    <t>Άγ. Ι. Ρέντης</t>
  </si>
  <si>
    <t>ΙΩΑΝΝΟΥ ΡΑΛΛΗ 9</t>
  </si>
  <si>
    <t>21ο ΝΗΠΙΑΓΩΓΕΙΟ ΚΟΡΥΔΑΛΛΟΥ</t>
  </si>
  <si>
    <t>mail@21nip-koryd.att.sch.gr</t>
  </si>
  <si>
    <t>ΑΙΣΧΥΛΟΥ 2</t>
  </si>
  <si>
    <t>23ο ΟΛΟΗΜΕΡΟ ΔΗΜΟΤΙΚΟ ΣΧΟΛΕΙΟ ΝΙΚΑΙΑΣ</t>
  </si>
  <si>
    <t>mail@23dim-nikaias.att.sch.gr</t>
  </si>
  <si>
    <t>ΑΚΡΟΠΟΛΕΩΣ ΚΑΙ ΠΑΝΤΕΙΧΙΟΥ</t>
  </si>
  <si>
    <t>35ο ΔΗΜΟΤΙΚΟ ΣΧΟΛΕΙΟ ΠΕΙΡΑΙΑ</t>
  </si>
  <si>
    <t>mail@35dim-peiraia.att.sch.gr</t>
  </si>
  <si>
    <t>9ο ΔΗΜΟΤΙΚΟ ΣΧΟΛΕΙΟ ΚΟΡΥΔΑΛΛΟΥ</t>
  </si>
  <si>
    <t>mail@9dim-koryd.att.sch.gr</t>
  </si>
  <si>
    <t>ΗΣΙΟΔΟΥ 25</t>
  </si>
  <si>
    <t>5ο ΔΗΜΟΤΙΚΟ ΣΧΟΛΕΙΟ ΝΙΚΑΙΑΣ</t>
  </si>
  <si>
    <t>mail@5dim-nikaias.att.sch.gr</t>
  </si>
  <si>
    <t>ΑΜΥΡΑΔΑΚΗ ΚΑΙ ΙΩΝΙΑΣ</t>
  </si>
  <si>
    <t>10/Θ ΟΛΟΗΜΕΡΟ ΔΗΜΟΤΙΚΟ ΣΧΟΛΕΙΟ ΠΑΛΟΥΚΙΩΝ ΣΑΛΑΜΙΝΑΣ</t>
  </si>
  <si>
    <t>mail@dim-palouk.att.sch.gr</t>
  </si>
  <si>
    <t>Παλούκια Σαλαμίνος</t>
  </si>
  <si>
    <t>ΕΥΑΓΓΕΛΙΣΤΡΙΑΣ 29</t>
  </si>
  <si>
    <t>3ο  ΔΗΜΟΤΙΚΟ ΣΧΟΛΕΙΟ ΠΕΡΑΜΑΤΟΣ</t>
  </si>
  <si>
    <t>mail@3dim-peram.att.sch.gr</t>
  </si>
  <si>
    <t>ΑΓ. ΝΙΚΟΛΑΟΥ 2</t>
  </si>
  <si>
    <t>1ο ΔΗΜΟΤΙΚΟ ΣΧΟΛΕΙΟ ΠΕΙΡΑΙΑ</t>
  </si>
  <si>
    <t>mail@1dim-peiraia.att.sch.gr</t>
  </si>
  <si>
    <t>ΠΑΛΑΜΗΔΙΟΥ 28-34 - ΧΑΪΔΑΡΙΟΥ</t>
  </si>
  <si>
    <t>43ο  ΝΗΠΙΑΓΩΓΕΙΟ ΠΕΙΡΑΙΑ</t>
  </si>
  <si>
    <t>mail@43nip-peiraia.att.sch.gr</t>
  </si>
  <si>
    <t>ΣΑΝΤΑΡΟΖΑ ΚΑΙ ΜΠΛΕΣΣΑ 4</t>
  </si>
  <si>
    <t>20ό ΔΗΜΟΤΙΚΟ ΣΧΟΛΕΙΟ ΠΕΙΡΑΙΑ</t>
  </si>
  <si>
    <t>mail@20dim-peiraia.att.sch.gr</t>
  </si>
  <si>
    <t>ΖΑΝΝΗ 97</t>
  </si>
  <si>
    <t>13ο ΟΛΟΗΜΕΡΟ ΔΗΜΟΤΙΚΟ ΣΧΟΛΕΙΟ ΚΕΡΑΤΣΙΝΙΟΥ</t>
  </si>
  <si>
    <t>mail@13dim-kerats.att.sch.gr</t>
  </si>
  <si>
    <t>ΠΑΛΑΙΟΛΟΓΟΥ ΚΑΙ ΒΟΣΠΟΡΟΥ</t>
  </si>
  <si>
    <t>36ο ΔΗΜΟΤΙΚΟ ΣΧΟΛΕΙΟ ΠΕΙΡΑΙΑ</t>
  </si>
  <si>
    <t>mail@36dim-peiraia.att.sch.gr</t>
  </si>
  <si>
    <t>2ο ΔΗΜΟΤΙΚΟ ΣΧΟΛΕΙΟ ΝΙΚΑΙΑΣ</t>
  </si>
  <si>
    <t>mail@2dim-nikaias.att.sch.gr</t>
  </si>
  <si>
    <t>Π. ΡΑΛΛΗ ΚΑΙ ΚΥΠΡΟΥ</t>
  </si>
  <si>
    <t>3ο  ΔΗΜΟΤΙΚΟ ΣΧΟΛΕΙΟ ΝΙΚΑΙΑΣ</t>
  </si>
  <si>
    <t>mail@3dim-nikaias.att.sch.gr</t>
  </si>
  <si>
    <t>ΠΛΑΤΕΙΑ ΑΓΙΟΥ ΓΕΩΡΓΙΟΥ (ΡΑΙΔΕΣΤΟΥ ΚΑΙ ΓΡΕΒΕΝΩΝ)</t>
  </si>
  <si>
    <t>4ο ΔΗΜΟΤΙΚΟ ΣΧΟΛΕΙΟ ΝΙΚΑΙΑΣ</t>
  </si>
  <si>
    <t>mail@4dim-nikaias.att.sch.gr</t>
  </si>
  <si>
    <t>ΚΑΙΣΑΡΕΙΑΣ 52 ΚΑΙ ΒΟΣΠΟΡΟΥ</t>
  </si>
  <si>
    <t>6ο ΔΗΜΟΤΙΚΟ ΣΧΟΛΕΙΟ ΝΙΚΑΙΑΣ</t>
  </si>
  <si>
    <t>mail@6dim-nikaias.att.sch.gr</t>
  </si>
  <si>
    <t>ΡΑΙΔΕΣΤΟΥ-ΒΟΣΠΟΡΟΥ</t>
  </si>
  <si>
    <t>8ο ΔΗΜΟΤΙΚΟ ΣΧΟΛΕΙΟ ΝΙΚΑΙΑΣ "Ζωρζ Σαρή"</t>
  </si>
  <si>
    <t>mail@8dim-nikaias.att.sch.gr</t>
  </si>
  <si>
    <t>ΑΡΜΕΝΙΩΝ  ΠΡΟΣΚΟΠΩΝ 11</t>
  </si>
  <si>
    <t>10ο ΔΗΜΟΤΙΚΟ ΣΧΟΛΕΙΟ ΝΙΚΑΙΑΣ</t>
  </si>
  <si>
    <t>mail@10dim-nikaias.att.sch.gr</t>
  </si>
  <si>
    <t>ΣΗΣΤΟΥ 7-9</t>
  </si>
  <si>
    <t>11ο ΔΗΜΟΤΙΚΟ ΣΧΟΛΕΙΟ ΝΙΚΑΙΑΣ</t>
  </si>
  <si>
    <t>mail@11dim-nikaias.att.sch.gr</t>
  </si>
  <si>
    <t>Π. ΡΑΛΛΗ 432</t>
  </si>
  <si>
    <t>14ο ΔΗΜΟΤΙΚΟ ΣΧΟΛΕΙΟ ΝΙΚΑΙΑΣ "ΣΤΑΥΡΟΣ ΞΑΡΧΑΚΟΣ"</t>
  </si>
  <si>
    <t>mail@14dim-nikaias.att.sch.gr</t>
  </si>
  <si>
    <t>8ο ΟΛΟΗΜΕΡΟ ΔΗΜΟΤΙΚΟ ΣΧΟΛΕΙΟ ΠΕΙΡΑΙΑ</t>
  </si>
  <si>
    <t>mail@8dim-peiraia.att.sch.gr</t>
  </si>
  <si>
    <t>ΡΟΥΜΕΛΗΣ 70</t>
  </si>
  <si>
    <t>13ο  ΔΗΜΟΤΙΚΟ ΣΧΟΛΕΙΟ ΠΕΙΡΑΙΑ</t>
  </si>
  <si>
    <t>mail@13dim-peiraia.att.sch.gr</t>
  </si>
  <si>
    <t>ΚΩΠΑΪΔΟΣ 32</t>
  </si>
  <si>
    <t>14ο ΔΗΜΟΤΙΚΟ ΣΧΟΛΕΙΟ ΠΕΙΡΑΙΑ</t>
  </si>
  <si>
    <t>mail@14dim-peiraia.att.sch.gr</t>
  </si>
  <si>
    <t>4ο ΝΗΠΙΑΓΩΓΕΙΟ ΑΓ Ι. ΡΕΝΤΗ</t>
  </si>
  <si>
    <t>mail@4nip-ag-ioann.att.sch.gr</t>
  </si>
  <si>
    <t>ΑΓ Ι. ΡΕΝΤΗ</t>
  </si>
  <si>
    <t>ΝΑΞΟΥ - Μ.ΑΛΕΞΑΝΔΡΟΥ</t>
  </si>
  <si>
    <t>ΝΗΠΙΑΓΩΓΕΙΟ ΑΙΑΝΤΕΙΟΥ</t>
  </si>
  <si>
    <t>mail@nip-aiant.att.sch.gr</t>
  </si>
  <si>
    <t>ΑΙΑΝΤΕΙΟΥ</t>
  </si>
  <si>
    <t>Λ.ΑΙΑΝΤΕΙΟΥ 60</t>
  </si>
  <si>
    <t>15ο ΔΗΜΟΤΙΚΟ ΣΧΟΛΕΙΟ ΝΙΚΑΙΑΣ</t>
  </si>
  <si>
    <t>mail@15dim-nikaias.att.sch.gr</t>
  </si>
  <si>
    <t>ΑΚΡΟΠΟΛΕΩΣ 77</t>
  </si>
  <si>
    <t>13ο ΔΗΜΟΤΙΚΟ ΣΧΟΛΕΙΟ ΚΟΡΥΔΑΛΛΟΥ</t>
  </si>
  <si>
    <t>mail@13dim-koryd.att.sch.gr</t>
  </si>
  <si>
    <t>ΚΑΥΚΑΣΟΥ ΚΑΙ ΛΗΜΝΟΥ</t>
  </si>
  <si>
    <t>15ο ΔΗΜΟΤΙΚΟ ΣΧΟΛΕΙΟ ΠΕΙΡΑΙΑ</t>
  </si>
  <si>
    <t>mail@15dim-peiraia.att.sch.gr</t>
  </si>
  <si>
    <t>ΔΗΜΗΤΡΙΟΥ ΜΟΥΤΣΟΠΟΥΛΟΥ - ΧΡΥΣΟΣΤΟΜΟΥ ΣΜΥΡΝΗΣ 26</t>
  </si>
  <si>
    <t>ΝΗΠΙΑΓΩΓΕΙΟ ΒΑΣΙΛΙΚΩΝ ΣΑΛΑΜΙΝΑΣ</t>
  </si>
  <si>
    <t>mail@nip-vasil.att.sch.gr</t>
  </si>
  <si>
    <t>ΒΑΣΙΛΙΚΑ ΣΑΛΑΜΙΝΑΣ</t>
  </si>
  <si>
    <t>ΠΑΡΑΛΙΑ ΒΑΣΙΛΙΚΩΝ &amp; ΔΡΑΜΑΣ 1</t>
  </si>
  <si>
    <t>6ο ΟΛΟΗΜΕΡΟ ΔΗΜΟΤΙΚΟ ΣΧΟΛΕΙΟ ΚΕΡΑΤΣΙΝΙΟΥ</t>
  </si>
  <si>
    <t>mail@6dim-kerats.att.sch.gr</t>
  </si>
  <si>
    <t>ΜΠΕΡΤΟΥ ΚΑΙ ΜΠΑΛΗ</t>
  </si>
  <si>
    <t>ΝΗΠΙΑΓΩΓΕΙΟ ΠΑΛΟΥΚΙΩΝ</t>
  </si>
  <si>
    <t>mail@nip-palouk.att.sch.gr</t>
  </si>
  <si>
    <t>ΠΑΛΟΥΚΙΑ</t>
  </si>
  <si>
    <t>ΛΕΩΝΙΔΙΟΥ 5</t>
  </si>
  <si>
    <t>ΝΗΠΙΑΓΩΓΕΙΟ ΑΜΠΕΛΑΚΙΩΝ ΣΑΛΑΜΙΝΑΣ</t>
  </si>
  <si>
    <t>mail@nip-ampel.att.sch.gr</t>
  </si>
  <si>
    <t>ΑΜΠΕΛΑΚΙΑ ΣΑΛΑΜΙΝΑΣ</t>
  </si>
  <si>
    <t>ΤΖΑΒΕΛΛΑ 2</t>
  </si>
  <si>
    <t>1ο ΟΛΟΗΜΕΡΟ ΔΗΜΟΤΙΚΟ ΣΧΟΛΕΙΟ ΠΟΡΟΥ</t>
  </si>
  <si>
    <t>mail@1dim-porou.att.sch.gr</t>
  </si>
  <si>
    <t>ΝΙΚΗΦΟΡΟΥ ΠΑΜΠΟΥΚΗ 3</t>
  </si>
  <si>
    <t>17ο ΔΗΜΟΤΙΚΟ ΣΧΟΛΕΙΟ ΝΙΚΑΙΑΣ</t>
  </si>
  <si>
    <t>mail@17dim-nikaias.att.sch.gr</t>
  </si>
  <si>
    <t>17ο ΔΗΜΟΤΙΚΟ ΣΧΟΛΕΙΟ ΠΕΙΡΑΙΑ</t>
  </si>
  <si>
    <t>mail@17dim-peiraia.att.sch.gr</t>
  </si>
  <si>
    <t>ΘΗΡΑΣ ΚΑΙ ΖΑΒΟΓΙΑΝΝΗ</t>
  </si>
  <si>
    <t>18ο ΔΗΜΟΤΙΚΟ ΣΧΟΛΕΙΟ ΝΙΚΑΙΑΣ</t>
  </si>
  <si>
    <t>mail@18dim-nikaias.att.sch.gr</t>
  </si>
  <si>
    <t>ΑΙΟΛΟΥ 15</t>
  </si>
  <si>
    <t>18ο ΔΗΜΟΤΙΚΟ ΣΧΟΛΕΙΟ ΠΕΙΡΑΙΑ</t>
  </si>
  <si>
    <t>mail@18dim-peiraia.att.sch.gr</t>
  </si>
  <si>
    <t>ΒΟΥΡΒΟΥΛΗ 1 &amp; ΘΗΒΩΝ</t>
  </si>
  <si>
    <t>20ο ΔΗΜΟΤΙΚΟ ΣΧΟΛΕΙΟ ΝΙΚΑΙΑΣ</t>
  </si>
  <si>
    <t>mail@20dim-nikaias.att.sch.gr</t>
  </si>
  <si>
    <t>Nίκαια</t>
  </si>
  <si>
    <t>ΒΟΥΛΓΑΡΟΚΤΟΝΟΥ ΤΕΡΜΑ</t>
  </si>
  <si>
    <t>25ο ΔΗΜΟΤΙΚΟ ΣΧΟΛΕΙΟ ΝΙΚΑΙΑΣ</t>
  </si>
  <si>
    <t>mail@25dim-nikaias.att.sch.gr</t>
  </si>
  <si>
    <t>Νίκαια</t>
  </si>
  <si>
    <t>ΤΕΡΜΑ ΒΟΥΛΓΑΡΟΚΤΟΝΟΥ</t>
  </si>
  <si>
    <t>47ο ΟΛΟΗΜΕΡΟ ΔΗΜΟΤΙΚΟ ΣΧΟΛΕΙΟ ΠΕΙΡΑΙΑ</t>
  </si>
  <si>
    <t>mail@47dim-peiraia.att.sch.gr</t>
  </si>
  <si>
    <t>ΧΙΟΥ 69 ΚΑΙ ΝΑΞΟΥ</t>
  </si>
  <si>
    <t>ΔΗΜΟΤΙΚΟ ΣΧΟΛΕΙΟ ΦΟΙΝΙΚΑ ΣΑΛΑΜΙΝΑΣ</t>
  </si>
  <si>
    <t>mail@dim-foinik.att.sch.gr</t>
  </si>
  <si>
    <t xml:space="preserve"> ΣΑΛΑΜΙΝΑ</t>
  </si>
  <si>
    <t>ΧΡΥΣΟΣΤΟΜΟΥ ΣΜΥΡΝΗΣ 9</t>
  </si>
  <si>
    <t>53ο ΔΗΜΟΤΙΚΟ ΣΧΟΛΕΙΟ ΠΕΙΡΑΙΑ</t>
  </si>
  <si>
    <t>mail@53dim-peiraia.att.sch.gr</t>
  </si>
  <si>
    <t>ΝΑΞΟΥ 64</t>
  </si>
  <si>
    <t>ΟΛΟΗΜΕΡΟ ΔΗΜΟΤΙΚΟ ΣΧΟΛΕΙΟ ΣΕΛΗΝΙΩΝ ΣΑΛΑΜΙΝΑΣ</t>
  </si>
  <si>
    <t>mail@dim-selin.att.sch.gr</t>
  </si>
  <si>
    <t>ΣΕΛΗΝΙΑ ΣΑΛΑΜΙΝΑΣ,</t>
  </si>
  <si>
    <t>ΝΙΚΗΣ 2</t>
  </si>
  <si>
    <t>8ο  ΔΗΜΟΤΙΚΟ ΣΧΟΛΕΙΟ ΚΕΡΑΤΣΙΝΙΟΥ</t>
  </si>
  <si>
    <t>mail@8dim-kerats.att.sch.gr</t>
  </si>
  <si>
    <t>ΚΟΜΝΗΝΩΝ 42</t>
  </si>
  <si>
    <t>ΟΛΟΗΜΕΡΟ ΔΗΜΟΤΙΚΟ ΣΧΟΛΕΙΟ ΒΑΣΙΛΙΚΩΝ ΣΑΛΑΜΙΝΑΣ</t>
  </si>
  <si>
    <t>mail@dim-vasil.att.sch.gr</t>
  </si>
  <si>
    <t>Βασιλικά,</t>
  </si>
  <si>
    <t>ΠΑΡΑΛΙΑ ΒΑΣΙΛΙΚΩΝ ΚΑΙ ΔΡΑΜΑΣ</t>
  </si>
  <si>
    <t>5ο ΔΗΜΟΤΙΚΟ ΣΧΟΛΕΙΟ ΚΕΡΑΤΣΙΝΙΟΥ</t>
  </si>
  <si>
    <t>mail@5dim-kerats.att.sch.gr</t>
  </si>
  <si>
    <t>2ο ΝΗΠΙΑΓΩΓΕΙΟ ΣΠΕΤΣΩΝ</t>
  </si>
  <si>
    <t>mail@2nip-spets.att.sch.gr</t>
  </si>
  <si>
    <t>ΣΠΕΤΣΩΝ</t>
  </si>
  <si>
    <t>4ο ΟΛΟΗΜΕΡΟ ΔΗΜΟΤΙΚΟ ΣΧΟΛΕΙΟ ΚΕΡΑΤΣΙΝΙΟΥ</t>
  </si>
  <si>
    <t>mail@4dim-kerats.att.sch.gr</t>
  </si>
  <si>
    <t>27ο ΔΗΜΟΤΙΚΟ ΣΧΟΛΕΙΟ ΠΕΙΡΑΙΑ</t>
  </si>
  <si>
    <t>mail@27dim-peiraia.att.sch.gr</t>
  </si>
  <si>
    <t>ΑΓΧΙΑΛΟΥ 175</t>
  </si>
  <si>
    <t>3ο ΔΗΜΟΤΙΚΟ ΣΧΟΛΕΙΟ ΚΕΡΑΤΣΙΝΙΟΥ</t>
  </si>
  <si>
    <t>mail@3dim-kerats.att.sch.gr</t>
  </si>
  <si>
    <t>ΠΕΡΙΑΝΔΡΟΥ 2 &amp; ΥΨΗΛΑΝΤΟΥ</t>
  </si>
  <si>
    <t>10ο ΔΗΜΟΤΙΚΟ ΣΧΟΛΕΙΟ ΚΕΡΑΤΣΙΝΙΟΥ</t>
  </si>
  <si>
    <t>mail@10dim-kerats.att.sch.gr</t>
  </si>
  <si>
    <t>ΠΙΤΤΑΚΟΥ 5</t>
  </si>
  <si>
    <t>11ο ΔΗΜΟΤΙΚΟ ΣΧΟΛΕΙΟ ΚΕΡΑΤΣΙΝΙΟΥ</t>
  </si>
  <si>
    <t>mail@11dim-kerats.att.sch.gr</t>
  </si>
  <si>
    <t>ΧΗΛΗΣ ΚΑΙ  ΔΙΟΓΕΝΟΥΣ</t>
  </si>
  <si>
    <t>20ο ΔΗΜΟΤΙΚΟ ΣΧΟΛΕΙΟ ΚΕΡΑΤΣΙΝΙΟΥ</t>
  </si>
  <si>
    <t>mail@20dim-kerats.att.sch.gr</t>
  </si>
  <si>
    <t>25ΗΣ ΜΑΡΤΙΟΥ 206-208</t>
  </si>
  <si>
    <t>18ο  ΔΗΜΟΤΙΚΟ ΣΧΟΛΕΙΟ ΚΕΡΑΤΣΙΝΙΟΥ</t>
  </si>
  <si>
    <t>mail@18dim-kerats.att.sch.gr</t>
  </si>
  <si>
    <t>ΣΗΣΤΟΥ-ΚΑΪΡΗ 11-13</t>
  </si>
  <si>
    <t>12ο ΔΗΜΟΤΙΚΟ ΣΧΟΛΕΙΟ ΚΕΡΑΤΣΙΝΙΟΥ</t>
  </si>
  <si>
    <t>mail@12dim-kerats.att.sch.gr</t>
  </si>
  <si>
    <t>Δ. ΓΛΗΝΟΥ</t>
  </si>
  <si>
    <t>23ο ΔΗΜΟΤΙΚΟ ΣΧΟΛΕΙΟ ΚΕΡΑΤΣΙΝΙΟΥ</t>
  </si>
  <si>
    <t>mail@23dim-kerats.att.sch.gr</t>
  </si>
  <si>
    <t>Μ.ΚΑΤΡΑΚΗ 66</t>
  </si>
  <si>
    <t>3ο  ΝΗΠΙΑΓΩΓΕΙΟ ΚΟΡΥΔΑΛΛΟΥ</t>
  </si>
  <si>
    <t>mail@3nip-koryd.att.sch.gr</t>
  </si>
  <si>
    <t>1ο  ΔΗΜΟΤΙΚΟ ΣΧΟΛΕΙΟ ΚΕΡΑΤΣΙΝΙΟΥ</t>
  </si>
  <si>
    <t>mail@1dim-kerats.att.sch.gr</t>
  </si>
  <si>
    <t>ΣΜΥΡΝΗΣ   &amp;   ΖΑΠΠΑ 22</t>
  </si>
  <si>
    <t>2ο ΝΗΠΙΑΓΩΓΕΙΟ ΑΙΓΙΝΑΣ</t>
  </si>
  <si>
    <t>mail@2nip-aigin.att.sch.gr</t>
  </si>
  <si>
    <t>ΠΑΝΑΓΙΩΤΗ ΚΑΙ ΑΡΤΕΜΙΔΟΣ ΚΑΠΠΟΥ</t>
  </si>
  <si>
    <t>33ο ΔΗΜΟΤΙΚΟ ΣΧΟΛΕΙΟ ΠΕΙΡΑΙΑ</t>
  </si>
  <si>
    <t>mail@33dim-peiraia.att.sch.gr</t>
  </si>
  <si>
    <t>Α.ΘΕΟΧΑΡΗ &amp; ΙΑΣΩΝΟΣ</t>
  </si>
  <si>
    <t>4ο ΔΗΜΟΤΙΚΟ ΣΧΟΛΕΙΟ ΣΑΛΑΜΙΝΑΣ</t>
  </si>
  <si>
    <t>mail@4dim-salam.att.sch.gr</t>
  </si>
  <si>
    <t>ΘΕΜΙΔΟΣ 119</t>
  </si>
  <si>
    <t>1ο ΔΗΜΟΤΙΚΟ ΣΧΟΛΕΙΟ ΠΕΡΑΜΑΤΟΣ - ΕΥΡΙΠΙΔΗΣ</t>
  </si>
  <si>
    <t>mail@1dim-peram.att.sch.gr</t>
  </si>
  <si>
    <t>Πέραμα</t>
  </si>
  <si>
    <t>ΚΑΡΑΟΛΗ - ΔΗΜΗΤΡΙΟΥ 25</t>
  </si>
  <si>
    <t>5ο ΔΗΜΟΤΙΚΟ ΣΧΟΛΕΙΟ ΣΑΛΑΜΙΝΑΣ</t>
  </si>
  <si>
    <t>mail@5dim-salam.att.sch.gr</t>
  </si>
  <si>
    <t>ΕΥΡΙΠΙΔΟΥ  60</t>
  </si>
  <si>
    <t>7ο ΔΗΜΟΤΙΚΟ ΣΧΟΛΕΙΟ ΚΕΡΑΤΣΙΝΙΟΥ</t>
  </si>
  <si>
    <t>mail@7dim-kerats.att.sch.gr</t>
  </si>
  <si>
    <t>ΚΑΙΣΑΡΕΙΑΣ ΚΑΙ ΚΟΥΝΤΟΥΡΙΩΤΟΥ</t>
  </si>
  <si>
    <t>ΔΗΜΟΤΙΚΟ ΣΧΟΛΕΙΟ ΣΠΕΤΣΩΝ</t>
  </si>
  <si>
    <t>mail@dim-spets.att.sch.gr</t>
  </si>
  <si>
    <t>ΣΠΕΤΣΕΣ</t>
  </si>
  <si>
    <t>1ο ΝΗΠΙΑΓΩΓΕΙΟ ΣΠΕΤΣΩΝ</t>
  </si>
  <si>
    <t>mail@1nip-spets.att.sch.gr</t>
  </si>
  <si>
    <t>ΝΗΠΙΑΓΩΓΕΙΟ ΜΕΘΑΝΩΝ</t>
  </si>
  <si>
    <t>mail@nip-methan.att.sch.gr</t>
  </si>
  <si>
    <t>ΜΕΘΑΝΩΝ</t>
  </si>
  <si>
    <t>15ο  ΔΗΜΟΤΙΚΟ ΣΧΟΛΕΙΟ ΚΕΡΑΤΣΙΝΙΟΥ</t>
  </si>
  <si>
    <t>mail@15dim-kerats.att.sch.gr</t>
  </si>
  <si>
    <t xml:space="preserve">  ΚΕΡΑΤΣΙΝΙ</t>
  </si>
  <si>
    <t>Λ. ΣΑΛΑΜΙΝΑΣ &amp;  Ρ.  ΦΕΡΑΙΟΥ</t>
  </si>
  <si>
    <t>5ο ΔΗΜΟΤΙΚΟ ΣΧΟΛΕΙΟ ΠΕΙΡΑΙΑ</t>
  </si>
  <si>
    <t>mail@5dim-peiraia.att.sch.gr</t>
  </si>
  <si>
    <t>ΑΝΤ Π. ΒΛΑΧΑΚΟΥ 99</t>
  </si>
  <si>
    <t>1ο ΝΗΠΙΑΓΩΓΕΙΟ ΝΕΟΥ ΦΑΛΗΡΟΥ</t>
  </si>
  <si>
    <t>mail@1nip-n-falir.att.sch.gr</t>
  </si>
  <si>
    <t>ΝΕΟ ΦΑΛΗΡΟ</t>
  </si>
  <si>
    <t>ΕΛΕΥΘΕΡΙΟΥ ΒΕΝΙΖΕΛΟΥ 3</t>
  </si>
  <si>
    <t>ΔΗΜΟΤΙΚΟ ΣΧΟΛΕΙΟ ΝΕΟΥ ΙΚΟΝΙΟΥ ΠΕΡΑΜΑΤΟΣ</t>
  </si>
  <si>
    <t>mail@dim-n-ikon.att.sch.gr</t>
  </si>
  <si>
    <t>ΝΕΟ  ΙΚΟΝΙΟ ΠΕΡΑΜΑΤΟΣ</t>
  </si>
  <si>
    <t>ΝΙΚΗΣ 61α</t>
  </si>
  <si>
    <t>46ο ΔΗΜΟΤΙΚΟ ΣΧΟΛΕΙΟ ΠΕΙΡΑΙΑ</t>
  </si>
  <si>
    <t>mail@46dim-peiraia.att.sch.gr</t>
  </si>
  <si>
    <t>ΚΑΠΕΤΑΝ ΓΕΡΜΑ 51</t>
  </si>
  <si>
    <t>2ο ΔΗΜΟΤΙΚΟ ΣΧΟΛΕΙΟ ΝΕΟΥ ΦΑΛΗΡΟΥ</t>
  </si>
  <si>
    <t>mail@2dim-n-falir.att.sch.gr</t>
  </si>
  <si>
    <t>30ο ΟΛΟΗΜΕΡΟ ΔΗΜΟΤΙΚΟ ΣΧΟΛΕΙΟ ΠΕΙΡΑΙΑ</t>
  </si>
  <si>
    <t>mail@30dim-peiraia.att.sch.gr</t>
  </si>
  <si>
    <t>ΚΑΠ.ΓΕΡΜΑ. 123</t>
  </si>
  <si>
    <t>26ο ΔΗΜΟΤΙΚΟ ΣΧΟΛΕΙΟ ΠΕΙΡΑΙΑ</t>
  </si>
  <si>
    <t>mail@26dim-peiraia.att.sch.gr</t>
  </si>
  <si>
    <t>41ο ΔΗΜΟΤΙΚΟ ΣΧΟΛΕΙΟ ΠΕΙΡΑΙΑ</t>
  </si>
  <si>
    <t>mail@41dim-peiraia.att.sch.gr</t>
  </si>
  <si>
    <t>ΧΑΛΚΙΔΟΣ 2 &amp; ΤΕΓΕΑΣ</t>
  </si>
  <si>
    <t>ΔΗΜΟΤΙΚΟ ΣΧΟΛΕΙΟ ΑΙΑΝΤΕΙΟΥ ΣΑΛΑΜΙΝΑΣ</t>
  </si>
  <si>
    <t>mail@dim-aiant.att.sch.gr</t>
  </si>
  <si>
    <t>ΑΙΑΝΤΕΙΟ ΣΑΛΑΜΙΝΑΣ</t>
  </si>
  <si>
    <t>ΒΑΣ. ΓΕΩΡΓΙΟΥ ΚΑΙ ΜΥΤΙΛΗΝΗΣ 1</t>
  </si>
  <si>
    <t>11ο ΕΝΙΑΙΟΥ ΤΥΠΟΥ ΟΛΟΗΜΕΡΟ ΔΗΜΟΤΙΚΟ ΣΧΟΛΕΙΟ ΚΟΡΥΔΑΛΛΟΥ</t>
  </si>
  <si>
    <t>mail@11dim-koryd.att.sch.gr</t>
  </si>
  <si>
    <t>9ο ΟΛΟΗΜΕΡΟ ΔΗΜΟΤΙΚΟ ΣΧΟΛΕΙΟ ΠΕΙΡΑΙΑ</t>
  </si>
  <si>
    <t>mail@9dim-peiraia.att.sch.gr</t>
  </si>
  <si>
    <t>ΣΑΛΑΜΙΝΟΣ 84 ΚΑΙ ΨΑΡΩΝ</t>
  </si>
  <si>
    <t>6ο ΔΗΜΟΤΙΚΟ ΣΧΟΛΕΙΟ ΠΕΙΡΑΙΑ</t>
  </si>
  <si>
    <t>mail@6dim-peiraia.att.sch.gr</t>
  </si>
  <si>
    <t>6/Θ ΟΛΟΗΜΕΡΟ ΔΗΜΟΤΙΚΟ ΣΧΟΛΕΙΟ ΠΟΤΑΜΟΥ ΚΥΘΗΡΩΝ</t>
  </si>
  <si>
    <t>mail@dim-potam.att.sch.gr</t>
  </si>
  <si>
    <t>ΚΥΘΗΡΩΝ</t>
  </si>
  <si>
    <t>ΠΟΤΑΜΟΣ</t>
  </si>
  <si>
    <t>ΠΟΤΑΜΟΣ ΚΥΘΗΡΩΝ</t>
  </si>
  <si>
    <t>ΟΛΟΗΜΕΡΟ ΔΗΜΟΤΙΚΟ ΣΧΟΛΕΙΟ ΧΩΡΑΣ-ΚΑΡΒΟΥΝΑΔΩΝ ΚΥΘΗΡΩΝ</t>
  </si>
  <si>
    <t>mail@dim-kythir.att.sch.gr</t>
  </si>
  <si>
    <t>Κύθηρα,</t>
  </si>
  <si>
    <t>ΚΥΘΗΡΑ</t>
  </si>
  <si>
    <t>ΟΛΟΗΜΕΡΟ ΝΗΠΙΑΓΩΓΕΙΟ ΠΟΤΑΜΟΥ ΚΥΘΗΡΩΝ</t>
  </si>
  <si>
    <t>mail@nip-potam.att.sch.gr</t>
  </si>
  <si>
    <t>ΠΟΤΑΜΟΥ ΚΥΘΗΡΩΝ</t>
  </si>
  <si>
    <t>ΑΓΙΑ ΠΕΛΑΓΙΑ ΚΥΘΗΡΩΝ</t>
  </si>
  <si>
    <t>ΝΗΠΙΑΓΩΓΕΙΟ ΣΕΛΗΝΙΩΝ</t>
  </si>
  <si>
    <t>mail@nip-selin.att.sch.gr</t>
  </si>
  <si>
    <t>ΣΕΛΗΝΙΩΝ</t>
  </si>
  <si>
    <t>26ο ΔΗΜΟΤΙΚΟ ΣΧΟΛΕΙΟ ΝΙΚΑΙΑΣ</t>
  </si>
  <si>
    <t>mail@26dim-nikaias.att.sch.gr</t>
  </si>
  <si>
    <t>ΓΡ.ΛΑΜΠΡΑΚΗ 377</t>
  </si>
  <si>
    <t>7ο ΔΗΜΟΤΙΚΟ ΣΧΟΛΕΙΟ ΝΙΚΑΙΑΣ</t>
  </si>
  <si>
    <t>mail@7dim-nikaias.att.sch.gr</t>
  </si>
  <si>
    <t>ΘΕΣΣΑΛΙΑΣ ΚΑΙ 28ΗΣ ΟΚΤΩΒΡΙΟΥ</t>
  </si>
  <si>
    <t>21ο ΝΗΠΙΑΓΩΓΕΙΟ ΚΕΡΑΤΣΙΝΙΟΥ</t>
  </si>
  <si>
    <t>mail@21nip-kerats.att.sch.gr</t>
  </si>
  <si>
    <t>Α.ΜΙΑΟΥΛΗ  147</t>
  </si>
  <si>
    <t>56ο ΝΗΠΙΑΓΩΓΕΙΟ ΠΕΙΡΑΙΑ</t>
  </si>
  <si>
    <t>mail@56nip-peiraia.att.sch.gr</t>
  </si>
  <si>
    <t>ΒΟΥΡΒΟΥΛΗ 1 ΚΑΙ ΘΗΒΩΝ</t>
  </si>
  <si>
    <t>57ο ΝΗΠΙΑΓΩΓΕΙΟ ΠΕΙΡΑΙΑ</t>
  </si>
  <si>
    <t>mail@57nip-peiraia.att.sch.gr</t>
  </si>
  <si>
    <t>ΝΑΞΟΥ 77 κ΄ΠΡΟΠΟΝΤΙΔΟΣ</t>
  </si>
  <si>
    <t>22ο ΝΗΠΙΑΓΩΓΕΙΟ ΚΕΡΑΤΣΙΝΙΟΥ</t>
  </si>
  <si>
    <t>mail@22nip-kerats.att.sch.gr</t>
  </si>
  <si>
    <t>ΜΑΝΟΥ ΚΑΤΡΑΚΗ 66</t>
  </si>
  <si>
    <t>9ο ΝΗΠΙΑΓΩΓΕΙΟ ΠΕΡΑΜΑΤΟΣ</t>
  </si>
  <si>
    <t>mail@9nip-peram.att.sch.gr</t>
  </si>
  <si>
    <t>ΚΑΡΑΟΛΗ - ΔΗΜΗΤΡΙΟΥ  25</t>
  </si>
  <si>
    <t>10ο ΝΗΠΙΑΓΩΓΕΙΟ ΠΕΡΑΜΑΤΟΣ</t>
  </si>
  <si>
    <t>mail@10nip-peram.att.sch.gr</t>
  </si>
  <si>
    <t>ΠΑΠΑΔΙΑΜΑΝΤΗ  2</t>
  </si>
  <si>
    <t>ΝΗΠΙΑΓΩΓΕΙΟ ΚΥΨΕΛΗΣ ΑΙΓΙΝΑΣ</t>
  </si>
  <si>
    <t>mail@nip-kypsel.att.sch.gr</t>
  </si>
  <si>
    <t>ΚΥΨΕΛΗ ΑΙΓΙΝΑΣ</t>
  </si>
  <si>
    <t>2ο ΔΗΜΟΤΙΚΟ ΣΧΟΛΕΙΟ ΠΕΡΑΜΑΤΟΣ</t>
  </si>
  <si>
    <t>mail@2dim-peram.att.sch.gr</t>
  </si>
  <si>
    <t>ΦΛΕΜΙΝΓΚ 127</t>
  </si>
  <si>
    <t>1ο  ΔΗΜΟΤΙΚΟ ΣΧΟΛΕΙΟ ΚΟΡΥΔΑΛΛΟΥ</t>
  </si>
  <si>
    <t>mail@1dim-koryd.att.sch.gr</t>
  </si>
  <si>
    <t>Χ.ΤΡΙΚΟΥΠΗ ΚΑΙ ΚΟΡΑΗ 16Β</t>
  </si>
  <si>
    <t>26ο ΝΗΠΙΑΓΩΓΕΙΟ ΚΕΡΑΤΣΙΝΙΟΥ</t>
  </si>
  <si>
    <t>mail@26nip-kerats.att.sch.gr</t>
  </si>
  <si>
    <t>ΚΩΝΣΤΑΝΤΙΝΟΥΠΟΛΕΩΣ 105</t>
  </si>
  <si>
    <t>5ο ΝΗΠΙΑΓΩΓΕΙΟ ΔΡΑΠΕΤΣΩΝΑΣ</t>
  </si>
  <si>
    <t>mail@5nip-drapets.att.sch.gr</t>
  </si>
  <si>
    <t>Χατζοπούλου 79</t>
  </si>
  <si>
    <t>ΒΟΡΕΙΟΥ ΑΙΓΑΙΟΥ</t>
  </si>
  <si>
    <t>Π.Ε. ΛΕΣΒΟΥ</t>
  </si>
  <si>
    <t>ΔΗΜΟΤΙΚΟ ΣΧΟΛΕΙΟ ΜΟΥΔΡΟΥ ΛΗΜΝΟΥ</t>
  </si>
  <si>
    <t>mail@dim-moudr.les.sch.gr</t>
  </si>
  <si>
    <t>ΛΗΜΝΟΥ</t>
  </si>
  <si>
    <t>ΜΟΥΔΡΟΣ ΛΗΜΝΟΥ</t>
  </si>
  <si>
    <t>ΔΗΜΟΤΙΚΟ ΣΧΟΛΕΙΟ ΠΟΛΙΧΝΙΤΟΥ ΛΕΣΒΟΥ</t>
  </si>
  <si>
    <t>mail@dim-polichn.les.sch.gr</t>
  </si>
  <si>
    <t>ΔΥΤΙΚΗΣ ΛΕΣΒΟΥ</t>
  </si>
  <si>
    <t>ΠΟΛΙΧΝΙΤΟΣ ΛΕΣΒΟΥ</t>
  </si>
  <si>
    <t>Ελπίδος 2</t>
  </si>
  <si>
    <t>ΔΗΜΟΤΙΚΟ ΣΧΟΛΕΙΟ ΑΤΣΙΚΗΣ ΛΗΜΝΟΥ</t>
  </si>
  <si>
    <t>mail@dim-atsik.les.sch.gr</t>
  </si>
  <si>
    <t>ΑΤΣΙΚΗ ΛΗΜΝΟΥ</t>
  </si>
  <si>
    <t>ΔΗΜΟΤΙΚΟ ΣΧΟΛΕΙΟ ΝΕΑΣ ΚΟΥΤΑΛΗΣ ΛΗΜΝΟΥ</t>
  </si>
  <si>
    <t>mail@dim-n-koutal.les.sch.gr</t>
  </si>
  <si>
    <t>ΝΕΑ ΚΟΥΤΑΛΗ</t>
  </si>
  <si>
    <t>ΝΕΑ ΚΟΥΤΑΛΗ ΛΗΜΝΟΣ</t>
  </si>
  <si>
    <t>ΝΗΠΙΑΓΩΓΕΙΟ ΜΟΥΔΡΟΥ ΛΗΜΝΟΥ</t>
  </si>
  <si>
    <t>mail@nip-moudr.les.sch.gr</t>
  </si>
  <si>
    <t>ΜΟΥΔΡΟΣ ΛΗΜΝΟΣ</t>
  </si>
  <si>
    <t>ΔΗΜΟΤΙΚΟ ΣΧΟΛΕΙΟ ΠΑΝΑΓΙΟΥΔΑΣ -ΟΔΥΣΣΕΑΣ ΕΛΥΤΗΣ (ΑΛΕΠΟΥΔΕΛΛΗΣ)</t>
  </si>
  <si>
    <t>mail@dim-panagioud.les.sch.gr</t>
  </si>
  <si>
    <t>ΜΥΤΙΛΗΝΗΣ</t>
  </si>
  <si>
    <t xml:space="preserve"> ΛΕΣΒΟΥ</t>
  </si>
  <si>
    <t>ΠΑΝΑΓΙΟΥΔΑ</t>
  </si>
  <si>
    <t>ΔΗΜΟΤΙΚΟ ΣΧΟΛΕΙΟ ΑΓΙΑΣΟΥ ΛΕΣΒΟΥ</t>
  </si>
  <si>
    <t>mail@dim-agias.les.sch.gr</t>
  </si>
  <si>
    <t>ΑΓΙΑΣΟΣ ΛΕΣΒΟΥ</t>
  </si>
  <si>
    <t>ΔΗΜΟΤΙΚΟ ΣΧΟΛΕΙΟ ΚΟΝΤΙΑΣ ΛΗΜΝΟΥ</t>
  </si>
  <si>
    <t>mail@dim-kontias.les.sch.gr</t>
  </si>
  <si>
    <t>ΚΟΝΤΙΑΣ ΛΗΜΝΟΥ</t>
  </si>
  <si>
    <t>10ο ΔΗΜΟΤΙΚΟ ΣΧΟΛΕΙΟ ΜΥΤΙΛΗΝΗΣ</t>
  </si>
  <si>
    <t>mail@10dim-mytil.les.sch.gr</t>
  </si>
  <si>
    <t>ΜΥΤΙΛΗΝΗ</t>
  </si>
  <si>
    <t>ΣΙΜΟΥ ΧΟΥΤΖΑΙΟΥ 18</t>
  </si>
  <si>
    <t>1ο ΔΗΜΟΤΙΚΟ ΣΧΟΛΕΙΟ ΜΥΤΙΛΗΝΗΣ</t>
  </si>
  <si>
    <t>mail@1dim-mytil.les.sch.gr</t>
  </si>
  <si>
    <t>ΑΓΙΟΥ ΘΕΡΑΠΟΝΤΟΣ 5</t>
  </si>
  <si>
    <t>3ο ΔΗΜΟΤΙΚΟ ΣΧΟΛΕΙΟ ΠΛΩΜΑΡΙΟΥ ΛΕΣΒΟΥ</t>
  </si>
  <si>
    <t>mail@3dim-plomar.les.sch.gr</t>
  </si>
  <si>
    <t>ΠΛΩΜΑΡΙ</t>
  </si>
  <si>
    <t>ΠΛΩΜΑΡΙ ΛΕΣΒΟΥ</t>
  </si>
  <si>
    <t>ΔΗΜΟΤΙΚΟ ΣΧΟΛΕΙΟ ΠΕΤΡΑΣ ΛΕΣΒΟΥ</t>
  </si>
  <si>
    <t>mail@dim-petras.les.sch.gr</t>
  </si>
  <si>
    <t>ΠΕΤΡΑ ΛΕΣΒΟΥ</t>
  </si>
  <si>
    <t>ΔΗΜΟΤΙΚΟ ΣΧΟΛΕΙΟ ΚΕΡΑΜΙΟΥ - ΛΕΣΒΟΥ</t>
  </si>
  <si>
    <t>mail@dim-skalas.les.sch.gr</t>
  </si>
  <si>
    <t>ΚΕΡΑΜΙ</t>
  </si>
  <si>
    <t>ΚΕΡΑΜΙ ΛΕΣΒΟΥ</t>
  </si>
  <si>
    <t>2ο ΔΗΜΟΤΙΚΟ ΣΧΟΛΕΙΟ ΜΥΡΙΝΑΣ ΛΗΜΝΟΥ</t>
  </si>
  <si>
    <t>mail@2dim-myrin.les.sch.gr</t>
  </si>
  <si>
    <t>ΜΥΡΙΝΑ ΛΗΜΝΟΥ</t>
  </si>
  <si>
    <t>ΛΕΩΦΟΡΟΣ ΔΗΜΟΚΡΑΤΙΑΣ ΜΥΡΙΝΑ ΛΗΜΝΟΣ</t>
  </si>
  <si>
    <t>ΔΗΜΟΤΙΚΟ ΣΧΟΛΕΙΟ ΑΓΡΑΣ ΛΕΣΒΟΥ</t>
  </si>
  <si>
    <t>mail@dim-agras.les.sch.gr</t>
  </si>
  <si>
    <t>ΑΓΡΑ ΛΕΣΒΟΥ</t>
  </si>
  <si>
    <t>ΔΗΜΟΤΙΚΟ ΣΧΟΛΕΙΟ ΣΚΟΥΤΑΡΟΥ ΛΕΣΒΟΥ</t>
  </si>
  <si>
    <t>mail@dim-skout.les.sch.gr</t>
  </si>
  <si>
    <t>Σκουτάρος Λέσβου</t>
  </si>
  <si>
    <t>ΔΗΜΟΤΙΚΟ ΣΧΟΛΕΙΟ ΑΓΙΑΣ ΠΑΡΑΣΚΕΥΗΣ ΛΕΣΒΟΥ</t>
  </si>
  <si>
    <t>mail@dim-ag-parask.les.sch.gr</t>
  </si>
  <si>
    <t>ΑΓΙΑ ΠΑΡΑΣΚΕΥΗ ΛΕΣΒΟΥ</t>
  </si>
  <si>
    <t>1ο ΔΗΜΟΤΙΚΟ ΣΧΟΛΕΙΟ ΠΛΩΜΑΡΙΟΥ ΛΕΣΒΟΥ</t>
  </si>
  <si>
    <t>mail@1dim-plomar.les.sch.gr</t>
  </si>
  <si>
    <t>ΔΗΜΟΤΙΚΟ ΣΧΟΛΕΙΟ ΠΛΑΓΙΑΣ ΛΕΣΒΟΥ</t>
  </si>
  <si>
    <t>mail@dim-plagias.les.sch.gr</t>
  </si>
  <si>
    <t>ΠΛΑΓΙΑ ΛΕΣΒΟΣ</t>
  </si>
  <si>
    <t>ΔΗΜΟΤΙΚΟ ΣΧΟΛΕΙΟ ΒΑΡΕΙΑΣ ΛΕΣΒΟΥ</t>
  </si>
  <si>
    <t>mail@dim-vareias.les.sch.gr</t>
  </si>
  <si>
    <t>ΒΑΡΕΙΑ ΛΕΣΒΟΥ</t>
  </si>
  <si>
    <t>ΣΤΡΑΤΗ ΕΛΕΥΘΕΡΙΑΔΗ</t>
  </si>
  <si>
    <t>3ο ΝΗΠΙΑΓΩΓΕΙΟ ΜΥΡΙΝΑΣ ΛΗΜΝΟΥ - ΜΠΟΒΟΛΕΤΕΙΟ</t>
  </si>
  <si>
    <t>mail@3nip-myrin.les.sch.gr</t>
  </si>
  <si>
    <t>ΜΥΡΙΝΑ ΛΗΜΝΟΣ</t>
  </si>
  <si>
    <t>ΜΠΟΒΟΛΕΤΗ</t>
  </si>
  <si>
    <t>3ο ΝΗΠΙΑΓΩΓΕΙΟ ΜΥΤΙΛΗΝΗΣ</t>
  </si>
  <si>
    <t>mail@3nip-mytil.les.sch.gr</t>
  </si>
  <si>
    <t>ΜΥΤΙΛΗΝΗ ΛΕΣΒΟΣ</t>
  </si>
  <si>
    <t>ΚΡΗΝΗΣ 8</t>
  </si>
  <si>
    <t>4ο ΔΗΜΟΤΙΚΟ ΣΧΟΛΕΙΟ ΜΥΤΙΛΗΝΗΣ</t>
  </si>
  <si>
    <t>mail@4dim-mytil.les.sch.gr</t>
  </si>
  <si>
    <t>ΠΙΤΤΑΚΟΥ 40</t>
  </si>
  <si>
    <t>ΔΗΜΟΤΙΚΟ ΣΧΟΛΕΙΟ ΣΤΥΨΗΣ ΛΕΣΒΟΥ</t>
  </si>
  <si>
    <t>mail@dim-styps.les.sch.gr</t>
  </si>
  <si>
    <t>ΣΤΥΨΗ ΛΕΣΒΟΥ</t>
  </si>
  <si>
    <t>1ο ΔΗΜΟΤΙΚΟ ΣΧΟΛΕΙΟ ΜΥΡΙΝΑΣ</t>
  </si>
  <si>
    <t>mail@1dim-myrin.les.sch.gr</t>
  </si>
  <si>
    <t>ΜΥΡΙΝΑ</t>
  </si>
  <si>
    <t>ΜΗΤΡΟΠΟΛΕΩΣ 1</t>
  </si>
  <si>
    <t>ΔΗΜΟΤΙΚΟ ΣΧΟΛΕΙΟ ΛΟΥΤΡΩΝ ΛΕΣΒΟΥ - Π. ΣΑΜΑΡΑΣ</t>
  </si>
  <si>
    <t>mail@dim-loutr.les.sch.gr</t>
  </si>
  <si>
    <t>ΛΟΥΤΡΑ ΛΕΣΒΟΣ</t>
  </si>
  <si>
    <t>ΛΟΥΤΡΑ ΛΕΣΒΟΥ</t>
  </si>
  <si>
    <t>13ο ΝΗΠΙΑΓΩΓΕΙΟ ΜΥΤΙΛΗΝΗΣ</t>
  </si>
  <si>
    <t>mail@13nip-mytil.les.sch.gr</t>
  </si>
  <si>
    <t>ΜΥΤΙΛΗΝΗ ΛΕΣΒΟΥ</t>
  </si>
  <si>
    <t>ΓΥΜΝΑΣΙΑΡΧΟΥ ΔΑΥΙΔ  15</t>
  </si>
  <si>
    <t>ΔΗΜΟΤΙΚΟ ΣΧΟΛΕΙΟ ΜΗΘΥΜΝΑΣ- ΛΕΣΒΟΥ</t>
  </si>
  <si>
    <t>mail@dim-mithymn.les.sch.gr</t>
  </si>
  <si>
    <t>ΜΗΘΥΜΝΑ- ΛΕΣΒΟΥ</t>
  </si>
  <si>
    <t>ΜΗΘΥΜΝΑ ΛΕΣΒΟΥ</t>
  </si>
  <si>
    <t>ΔΗΜΟΤΙΚΟ ΣΧΟΛΕΙΟ ΚΟΝΤΟΠΟΥΛΙΟΥ ΛΗΜΝΟΥ</t>
  </si>
  <si>
    <t>mail@dim-kontop.les.sch.gr</t>
  </si>
  <si>
    <t>ΚΟΝΤΟΠΟΥΛΙ</t>
  </si>
  <si>
    <t>ΚΟΝΤΟΠΟΥΛΙ ΛΗΜΝΟΥ</t>
  </si>
  <si>
    <t>ΝΗΠΙΑΓΩΓΕΙΟ ΠΕΡΑΜΑΤΟΣ ΛΕΣΒΟΥ</t>
  </si>
  <si>
    <t>mail@nip-peram.les.sch.gr</t>
  </si>
  <si>
    <t>ΠΕΡΑΜΑ ΛΕΣΒΟΣ</t>
  </si>
  <si>
    <t>ΔΗΜΟΤΙΚΟ ΣΧΟΛΕΙΟ ΜΑΝΤΑΜΑΔΟΥ ΛΕΣΒΟΥ- ΓΕΡΟΝΤΕΛΛΕΙΟΝ</t>
  </si>
  <si>
    <t>mail@dim-mantam.les.sch.gr</t>
  </si>
  <si>
    <t>ΜΑΝΤΑΜΑΔΟΣ ΛΕΣΒΟΣ</t>
  </si>
  <si>
    <t>ΔΗΜΟΤΙΚΟ ΣΧΟΛΕΙΟ ΣΚΟΠΕΛΟΥ ΛΕΣΒΟΥ</t>
  </si>
  <si>
    <t>mail@dim-skopel.les.sch.gr</t>
  </si>
  <si>
    <t>ΣΚΟΠΕΛΟΣ ΛΕΣΒΟΣ</t>
  </si>
  <si>
    <t>2ο ΔΗΜΟΤΙΚΟ ΣΧΟΛΕΙΟ ΜΥΤΙΛΗΝΗΣ</t>
  </si>
  <si>
    <t>mail@2dim-mytil.les.sch.gr</t>
  </si>
  <si>
    <t>ΚΑΜΑΡΕΣ</t>
  </si>
  <si>
    <t>ΔΗΜΟΤΙΚΟ ΣΧΟΛΕΙΟ ΛΟΥΤΡΟΠΟΛΗΣ ΘΕΡΜΗΣ ΛΕΣΒΟΥ</t>
  </si>
  <si>
    <t>mail@dim-loutrop.les.sch.gr</t>
  </si>
  <si>
    <t>ΛΟΥΤΡΟΠΟΛΗ ΘΕΡΜΗΣ ΛΕΣΒΟΣ</t>
  </si>
  <si>
    <t>ΛΟΥΤΡ.ΘΕΡΜΗΣ ΛΕΣΒΟΥ</t>
  </si>
  <si>
    <t>ΔΗΜΟΤΙΚΟ ΣΧΟΛΕΙΟ ΑΝΤΙΣΣΑΣ ΛΕΣΒΟΥ - ΤΕΡΠΑΝΔΡΕΙΟ</t>
  </si>
  <si>
    <t>mail@dim-antiss.les.sch.gr</t>
  </si>
  <si>
    <t>ΑΝΤΙΣΣΑ ΛΕΣΒΟΥ</t>
  </si>
  <si>
    <t>2ο ΝΗΠΙΑΓΩΓΕΙΟ ΜΥΡΙΝΑΣ ΛΗΜΝΟΥ</t>
  </si>
  <si>
    <t>mail@2nip-myrin.les.sch.gr</t>
  </si>
  <si>
    <t>ΚΟΙΜΗΣΕΩΣ ΘΕΟΤΟΚΟΥ  26</t>
  </si>
  <si>
    <t>ΝΗΠΙΑΓΩΓΕΙΟ ΠΑΝΑΓΙΟΥΔΑΣ ΛΕΣΒΟΥ</t>
  </si>
  <si>
    <t>mail@nip-panag.les.sch.gr</t>
  </si>
  <si>
    <t>ΠΑΝΑΓΙΟΥΔΑ ΛΕΣΒΟΣ</t>
  </si>
  <si>
    <t>14ο ΝΗΠΙΑΓΩΓΕΙΟ ΜΥΤΙΛΗΝΗΣ</t>
  </si>
  <si>
    <t>mail@14nip-mytil.les.sch.gr</t>
  </si>
  <si>
    <t>ΜΙΚΡΑΣ ΑΣΙΑΣ 2</t>
  </si>
  <si>
    <t>5ο ΔΗΜΟΤΙΚΟ ΣΧΟΛΕΙΟ ΜΥΤΙΛΗΝΗΣ</t>
  </si>
  <si>
    <t>mail@5dim-mytil.les.sch.gr</t>
  </si>
  <si>
    <t>Αδραμυτίου 19</t>
  </si>
  <si>
    <t>ΔΗΜΟΤΙΚΟ ΣΧΟΛΕΙΟ ΠΑΜΦΙΛΩΝ ΛΕΣΒΟΥ " ΒΟΣΤΑΝΕΙΟ"</t>
  </si>
  <si>
    <t>mail@dim-pamfil.les.sch.gr</t>
  </si>
  <si>
    <t>Μυτιλήνη</t>
  </si>
  <si>
    <t>Πάμφιλα Λέσβου</t>
  </si>
  <si>
    <t>3ο ΔΗΜΟΤΙΚΟ ΣΧΟΛΕΙΟ ΜΥΡΙΝΑΣ ΛΗΜΝΟΥ</t>
  </si>
  <si>
    <t>mail@3dim-myrin.les.sch.gr</t>
  </si>
  <si>
    <t>ΚΟΤΣΙΡΑ ΑΝΔΡΩΝΙ</t>
  </si>
  <si>
    <t>ΝΗΠΙΑΓΩΓΕΙΟ Ν. ΚΟΥΤΑΛΗΣ ΛΗΜΝΟΥ</t>
  </si>
  <si>
    <t>mail@nip-n-koutal.les.sch.gr</t>
  </si>
  <si>
    <t>Ν. ΚΟΥΤΑΛΗ ΛΗΜΝΟΣ</t>
  </si>
  <si>
    <t>ΔΗΜΟΤΙΚΟ ΣΧΟΛΕΙΟ ΕΡΕΣΟΥ ΛΕΣΒΟΥ - ΘΕΟΦΡΑΣΤΕΙΟ</t>
  </si>
  <si>
    <t>mail@dim-eresou.les.sch.gr</t>
  </si>
  <si>
    <t>ΕΡΕΣΟΣ ΛΕΣΒΟΥ</t>
  </si>
  <si>
    <t>1ο ΝΗΠΙΑΓΩΓΕΙΟ ΚΑΛΛΟΝΗΣ ΛΕΣΒΟΥ</t>
  </si>
  <si>
    <t>mail@1nip-kallon.les.sch.gr</t>
  </si>
  <si>
    <t>ΚΑΛΛΟΝΗ ΛΕΣΒΟΥ</t>
  </si>
  <si>
    <t>ΑΡΙΣΒΗ ΚΑΛΛΟΝΗΣ ΛΕΣΒΟΥ</t>
  </si>
  <si>
    <t>ΝΗΠΙΑΓΩΓΕΙΟ ΤΡΥΓΟΝΑ ΛΕΣΒΟΥ</t>
  </si>
  <si>
    <t>mail@nip-trygon.les.sch.gr</t>
  </si>
  <si>
    <t>ΤΡΥΓΟΝΑΣ ΛΕΣΒΟΣ</t>
  </si>
  <si>
    <t>2ο ΝΗΠΙΑΓΩΓΕΙΟ ΠΛΩΜΑΡΙΟΥ ΛΕΣΒΟΥ</t>
  </si>
  <si>
    <t>mail@2nip-plomar.les.sch.gr</t>
  </si>
  <si>
    <t xml:space="preserve">ΠΛΩΜΑΡΙ ΛΕΣΒΟΣ  </t>
  </si>
  <si>
    <t>10ο ΝΗΠΙΑΓΩΓΕΙΟ ΜΥΤΙΛΗΝΗΣ</t>
  </si>
  <si>
    <t>mail@10nip-mytil.les.sch.gr</t>
  </si>
  <si>
    <t>Γ. ΜΟΥΡΑ 10  ΜΥΤΙΛΗΝΗ</t>
  </si>
  <si>
    <t>6ο ΔΗΜΟΤΙΚΟ ΣΧΟΛΕΙΟ ΜΥΤΙΛΗΝΗΣ</t>
  </si>
  <si>
    <t>mail@6dim-mytil.les.sch.gr</t>
  </si>
  <si>
    <t>ΕΛΕΥΘΕΡΙΟΥ ΒΕΝΙΖΕΛΟΥ 22</t>
  </si>
  <si>
    <t>ΔΗΜΟΤΙΚΟ ΣΧΟΛΕΙΟ ΧΑΛΙΚΩΝ ΜΥΤΙΛΗΝΗΣ</t>
  </si>
  <si>
    <t>mail@dim-chalik.les.sch.gr</t>
  </si>
  <si>
    <t>ΧΑΛΙΚΑΣ ΜΥΤΙΛΗΝΗΣ ΛΕΣΒΟΣ</t>
  </si>
  <si>
    <t>ΜΕΣΑΙΟΣ ΧΑΛΙΚΑΣ ΜΥΤΙΛΗΝΗΣ  ΛΕΣΒΟΥ</t>
  </si>
  <si>
    <t>7ο ΝΗΠΙΑΓΩΓΕΙΟ ΜΥΤΙΛΗΝΗΣ</t>
  </si>
  <si>
    <t>mail@7nip-mytil.les.sch.gr</t>
  </si>
  <si>
    <t>ΜΥΤΙΛΗΝΗΣ ΛΕΣΒΟΥ</t>
  </si>
  <si>
    <t>ΓΡΗΓΟΡΙΟΥ ΠΑΠΑΜΙΧΑΗΛ 11</t>
  </si>
  <si>
    <t>ΝΗΠΙΑΓΩΓΕΙΟ ΑΓΙΑΣ ΜΑΡΙΝΑΣ ΛΕΣΒΟΥ</t>
  </si>
  <si>
    <t>mail@nip-ag-marin.les.sch.gr</t>
  </si>
  <si>
    <t>ΑΓΙΑ ΜΑΡΙΝΑ ΛΕΣΒΟΥ</t>
  </si>
  <si>
    <t>15ο ΔΗΜΟΤΙΚΟ ΣΧΟΛΕΙΟ ΜΥΤΙΛΗΝΗΣ</t>
  </si>
  <si>
    <t>mail@15dim-mytil.les.sch.gr</t>
  </si>
  <si>
    <t>ΘΕΟΦΙΛΟΥ ΧΑΤΖΗΜΙΧΑΗΛ &amp; ΗΛΙΑ ΒΕΝΕΖΗ ΓΩΝΙΑ</t>
  </si>
  <si>
    <t>ΝΗΠΙΑΓΩΓΕΙΟ ΠΑΠΑΔΟΥ ΛΕΣΒΟΥ</t>
  </si>
  <si>
    <t>mail@nip-papad.les.sch.gr</t>
  </si>
  <si>
    <t>ΠΑΠΑΔΟΣ ΛΕΣΒΟΣ</t>
  </si>
  <si>
    <t>ΠΑΠΑΔΟΣ ΓΕΡΑΣ</t>
  </si>
  <si>
    <t>ΔΗΜΟΤΙΚΟ ΣΧΟΛΕΙΟ ΙΠΠΕΙΟΥ ΛΕΣΒΟΥ</t>
  </si>
  <si>
    <t>mail@dim-ippeiou.les.sch.gr</t>
  </si>
  <si>
    <t>ΙΠΠΕΙΟΣ ΛΕΣΒΟΥ</t>
  </si>
  <si>
    <t>3ο ΔΗΜΟΤΙΚΟ ΣΧΟΛΕΙΟ ΜΥΤΙΛΗΝΗΣ</t>
  </si>
  <si>
    <t>mail@3dim-mytil.les.sch.gr</t>
  </si>
  <si>
    <t>Γ. ΜΟΥΡΑ 10</t>
  </si>
  <si>
    <t>7ο ΔΗΜΟΤΙΚΟ ΣΧΟΛΕΙΟ ΜΥΤΙΛΗΝΗΣ</t>
  </si>
  <si>
    <t>mail@7dim-mytil.les.sch.gr</t>
  </si>
  <si>
    <t>ΘΕΟΦΙΛΟΥ ΧΑΤΖΗΜΙΧΑΗΛ 2</t>
  </si>
  <si>
    <t>ΝΗΠΙΑΓΩΓΕΙΟ ΠΟΛΙΧΝΙΤΟΥ ΛΕΣΒΟΥ</t>
  </si>
  <si>
    <t>mail@nip-polichn.les.sch.gr</t>
  </si>
  <si>
    <t>ΠΟΛΙΧΝΙΤΟΣ ΛΕΣΒΟΣ</t>
  </si>
  <si>
    <t>ΔΗΜΟΤΙΚΟ ΣΧΟΛΕΙΟ ΠΑΠΑΔΟΥ ΛΕΣΒΟΥ</t>
  </si>
  <si>
    <t>mail@dim-papad.les.sch.gr</t>
  </si>
  <si>
    <t>ΠΑΠΑΔΟΣ ΛΕΣΒΟΥ</t>
  </si>
  <si>
    <t>ΔΗΜΟΤΙΚΟ ΣΧΟΛΕΙΟ ΜΟΡΙΑΣ ΛΕΣΒΟΥ</t>
  </si>
  <si>
    <t>mail@dim-morias.les.sch.gr</t>
  </si>
  <si>
    <t>ΜΟΡΙΑ ΛΕΣΒΟΥ</t>
  </si>
  <si>
    <t>ΔΗΜΟΤΙΚΟ ΣΧΟΛΕΙΟ ΠΕΡΑΜΑΤΟΣ ΛΕΣΒΟΥ</t>
  </si>
  <si>
    <t>mail@dim-peram.les.sch.gr</t>
  </si>
  <si>
    <t>ΠΕΡΑΜΑ ΛΕΣΒΟΥ</t>
  </si>
  <si>
    <t>8ο ΔΗΜΟΤΙΚΟ ΣΧΟΛΕΙΟ ΜΥΤΙΛΗΝΗΣ</t>
  </si>
  <si>
    <t>mail@8dim-mytil.les.sch.gr</t>
  </si>
  <si>
    <t>ΓΕΡΜΑΝΟΥ ΚΑΡΑΒΑΓΓΕΛΗ 54</t>
  </si>
  <si>
    <t>9ο ΔΗΜΟΤΙΚΟ ΣΧΟΛΕΙΟ ΜΥΤΙΛΗΝΗΣ</t>
  </si>
  <si>
    <t>mail@9dim-mytil.les.sch.gr</t>
  </si>
  <si>
    <t>ΜΥΤΙΛΗΝΗ,</t>
  </si>
  <si>
    <t>ΤΕΡΜΑ ΥΑΚΙΝΘΟΥ ΜΥΤΙΛΗΝΗ</t>
  </si>
  <si>
    <t>ΔΗΜΟΤΙΚΟ ΣΧΟΛΕΙΟ ΚΑΛΛΟΝΗΣ ΛΕΣΒΟΥ</t>
  </si>
  <si>
    <t>mail@dim-kalon.les.sch.gr</t>
  </si>
  <si>
    <t>ΝΗΠΙΑΓΩΓΕΙΟ ΠΕΤΡΑΣ ΛΕΣΒΟΥ</t>
  </si>
  <si>
    <t>mail@nip-petras.les.sch.gr</t>
  </si>
  <si>
    <t>ΔΗΜΟΤΙΚΟ ΣΧΟΛΕΙΟ ΔΑΦΙΩΝ ΛΕΣΒΟΥ</t>
  </si>
  <si>
    <t>mail@dim-dafion.les.sch.gr</t>
  </si>
  <si>
    <t>ΔΑΦΙΑ</t>
  </si>
  <si>
    <t>ΔΑΦΙΑ ΛΕΣΒΟΥ</t>
  </si>
  <si>
    <t>ΝΗΠΙΑΓΩΓΕΙΟ ΑΓΙΑΣ ΠΑΡΑΣΚΕΥΗΣ ΛΕΣΒΟΥ</t>
  </si>
  <si>
    <t>mail@nip-ag-parask.les.sch.gr</t>
  </si>
  <si>
    <t>12ο ΝΗΠΙΑΓΩΓΕΙΟ ΜΥΤΙΛΗΝΗΣ</t>
  </si>
  <si>
    <t>mail@12nip-mytil.les.sch.gr</t>
  </si>
  <si>
    <t>ΑΛΥΦΑΝΤΑ</t>
  </si>
  <si>
    <t>ΔΗΜΟΤΙΚΟ ΣΧΟΛΕΙΟ ΤΑΞΙΑΡΧΩΝ ΜΥΤΙΛΗΝΗΣ ΛΕΣΒΟΥ</t>
  </si>
  <si>
    <t>mail@dim-taxiarch.les.sch.gr</t>
  </si>
  <si>
    <t>ΤΑΞΙΑΡΧΕΣ ΛΕΣΒΟΥ</t>
  </si>
  <si>
    <t>ΤΑΞΙΑΡΧΕΣ</t>
  </si>
  <si>
    <t>Π.Ε. ΣΑΜΟΥ</t>
  </si>
  <si>
    <t>ΝΗΠΙΑΓΩΓΕΙΟ ΠΥΘΑΓΟΡΕΙΟΥ</t>
  </si>
  <si>
    <t>mail@nip-pythag.sam.sch.gr</t>
  </si>
  <si>
    <t>ΑΝΑΤΟΛΙΚΗΣ ΣΑΜΟΥ</t>
  </si>
  <si>
    <t>ΠΥΘΑΓΟΡΕΙΟΥ</t>
  </si>
  <si>
    <t>ΩΡΟΛΟΓΑ &amp; ΑΙΓΑΙΟΥ ΠΕΛΑΓΟΥΣ</t>
  </si>
  <si>
    <t>ΝΗΠΙΑΓΩΓΕΙΟ ΜΕΣΑΙΟΥ ΚΑΡΛΟΒΑΣΟΥ</t>
  </si>
  <si>
    <t>mail@nip-messaiou.sam.sch.gr</t>
  </si>
  <si>
    <t>ΔΥΤΙΚΗΣ ΣΑΜΟΥ</t>
  </si>
  <si>
    <t>ΜΕΣΑΙΟΥ ΚΑΡΛΟΒΑΣΟΥ</t>
  </si>
  <si>
    <t>ΜΕΣΑΙΟ ΚΑΡΛΟΒΑΣΙ</t>
  </si>
  <si>
    <t>ΝΗΠΙΑΓΩΓΕΙΟ ΧΩΡΑΣ ΣΑΜΟΥ</t>
  </si>
  <si>
    <t>mail@nip-choras.sam.sch.gr</t>
  </si>
  <si>
    <t>ΧΩΡΑΣ</t>
  </si>
  <si>
    <t>ΧΩΡΑ</t>
  </si>
  <si>
    <t>3ο ΝΗΠΙΑΓΩΓΕΙΟ ΝΕΟΥ ΚΑΡΛΟΒΑΣΙΟΥ ΣΑΜΟΥ</t>
  </si>
  <si>
    <t>mail@nip-n-karlov.sam.sch.gr</t>
  </si>
  <si>
    <t>ΚΑΡΛΟΒΑΣΙ</t>
  </si>
  <si>
    <t>ΚΑΡΛΟΒΑΣΙ ΛΙΜΑΝΙ</t>
  </si>
  <si>
    <t>ΔΗΜΟΤΙΚΟ ΣΧΟΛΕΙΟ ΠΥΘΑΓΟΡΕΙΟΥ</t>
  </si>
  <si>
    <t>mail@dim-pythag.sam.sch.gr</t>
  </si>
  <si>
    <t>ΠΥΘΑΓΟΡΕΙΟ</t>
  </si>
  <si>
    <t>ΛΥΚΟΥΡΓΟΥ ΛΟΓΟΘΕΤΗ</t>
  </si>
  <si>
    <t>ΝΗΠΙΑΓΩΓΕΙΟ ΜΥΤΙΛΗΝΙΩΝ ΣΑΜΟΥ</t>
  </si>
  <si>
    <t>mail@nip-mytil.sam.sch.gr</t>
  </si>
  <si>
    <t>ΜΥΤΙΛΗΝΙΩΝ</t>
  </si>
  <si>
    <t>ΜΥΤΙΛΗΝΙΟΙ</t>
  </si>
  <si>
    <t>2ο ΠΕΙΡΑΜΑΤΙΚΟ ΝΗΠΙΑΓΩΓΕΙΟ ΣΑΜΟΥ</t>
  </si>
  <si>
    <t>mail@2nip-samou.sam.sch.gr</t>
  </si>
  <si>
    <t>ΣΑΜΟΥ</t>
  </si>
  <si>
    <t>11ΗΣ ΝΟΕΜΒΡΙΟΥ 1</t>
  </si>
  <si>
    <t>1ο ΝΗΠΙΑΓΩΓΕΙΟ ΝΕΟΥ ΚΑΡΛΟΒΑΣΟΥ</t>
  </si>
  <si>
    <t>mail@1nip-karlo.sam.sch.gr</t>
  </si>
  <si>
    <t>ΝΕΟΥ ΚΑΡΛΟΒΑΣΟΥ</t>
  </si>
  <si>
    <t>ΕΚΤΗΣ ΑΥΓΟΥΣΤΟΥ ΚΑΙ ΙΩΑΝΝΗ ΧΡΥΣΟΣΤΟΜΟΥ</t>
  </si>
  <si>
    <t>ΔΗΜΟΤΙΚΟ ΣΧΟΛΕΙΟ ΟΡΜΟΥ ΚΑΡΛΟΒΑΣΟΥ</t>
  </si>
  <si>
    <t>mail@dim-ormou.sam.sch.gr</t>
  </si>
  <si>
    <t>ΟΡΜΟΥ ΚΑΡΛΟΒΑΣΟΥ</t>
  </si>
  <si>
    <t>ΟΡΜΟΣ ΚΑΡΛΟΒΑΣΟΥ</t>
  </si>
  <si>
    <t>2ο ΝΗΠΙΑΓΩΓΕΙΟ ΝΕΟΥ ΚΑΡΛΟΒΑΣΟΥ</t>
  </si>
  <si>
    <t>mail@2nip-karlov.sam.sch.gr</t>
  </si>
  <si>
    <t>ΔΗΜΟΤΙΚΟ ΣΧΟΛΕΙΟ ΜΕΣΑΙΟΥ ΚΑΡΛΟΒΑΣΙΟΥ</t>
  </si>
  <si>
    <t>mail@dim-messaiou.sam.sch.gr</t>
  </si>
  <si>
    <t>3ο ΔΗΜΟΤΙΚΟ ΣΧΟΛΕΙΟ ΣΑΜΟΥ</t>
  </si>
  <si>
    <t>mail@3dim-samou.sam.sch.gr</t>
  </si>
  <si>
    <t>Ταμπάκικα - Σάμος</t>
  </si>
  <si>
    <t>Δ. Νικολαρεΐζη</t>
  </si>
  <si>
    <t>ΔΗΜΟΤΙΚΟ ΣΧΟΛΕΙΟ ΜΥΤΙΛΗΝΙΩΝ ΣΑΜΟΥ - ΕΥΘΥΜΙΑΔΑ</t>
  </si>
  <si>
    <t>mail@dim-mytil.sam.sch.gr</t>
  </si>
  <si>
    <t>ΜΥΤΙΛΗΝΙΟΙ ΣΑΜΟΥ</t>
  </si>
  <si>
    <t>ΙΕΡΟΔΙΑΚΟΝΟΥ ΕΥΘΥΜΙΟΥ 96</t>
  </si>
  <si>
    <t>ΝΗΠΙΑΓΩΓΕΙΟ ΜΑΡΑΘΟΚΑΜΠΟΥ</t>
  </si>
  <si>
    <t>mail@nip-marath.sam.sch.gr</t>
  </si>
  <si>
    <t>ΜΑΡΑΘΟΚΑΜΠΟΥ</t>
  </si>
  <si>
    <t>ΜΑΡΑΘΟΚΑΜΠΟΣ</t>
  </si>
  <si>
    <t>1ο ΔΗΜΟΤΙΚΟ ΣΧΟΛΕΙΟ ΣΑΜΟΥ</t>
  </si>
  <si>
    <t>mail@1dim-samou.sam.sch.gr</t>
  </si>
  <si>
    <t>Σάμος</t>
  </si>
  <si>
    <t>ΓΥΜΝΑΣΙΑΡΧΟΥ ΚΑΤΕΒΑΙΝΗ 31</t>
  </si>
  <si>
    <t>ΔΗΜΟΤΙΚΟ ΣΧΟΛΕΙΟ ΒΑΘΕΟΣ ΣΑΜΟΥ</t>
  </si>
  <si>
    <t>mail@dim-vatheos.sam.sch.gr</t>
  </si>
  <si>
    <t>ΝΟΕΜΗΣ ΝΤΑΕΛ ΣΑΜΟΥ</t>
  </si>
  <si>
    <t>2ο  ΠΕΙΡΑΜΑΤΙΚΟ ΔΗΜΟΤΙΚΟ ΣΧΟΛΕΙΟ ΣΑΜΟΥ</t>
  </si>
  <si>
    <t>mail@2dim-samou.sam.sch.gr</t>
  </si>
  <si>
    <t>ΣΑΜΟΣ</t>
  </si>
  <si>
    <t>11ης  ΝΟΕΜΒΡΙΟΥ, 1</t>
  </si>
  <si>
    <t>1ο ΔΗΜΟΤΙΚΟ ΣΧΟΛΕΙΟ Ν. ΚΑΡΛΟΒΑΣΙΟΥ</t>
  </si>
  <si>
    <t>mail@dim-karlov.sam.sch.gr</t>
  </si>
  <si>
    <t>ΓΟΡΓΥΡΑΣ</t>
  </si>
  <si>
    <t>ΔΗΜΟΤΙΚΟ ΣΧΟΛΕΙΟ ΜΑΡΑΘΟΚΑΜΠΟΥ</t>
  </si>
  <si>
    <t>mail@dim-marath.sam.sch.gr</t>
  </si>
  <si>
    <t>ΔΗΜΟΤΙΚΟ ΣΧΟΛΕΙΟ ΦΟΥΡΝΩΝ ΚΟΡΣΕΩΝ</t>
  </si>
  <si>
    <t>mail@dim-fourn.sam.sch.gr</t>
  </si>
  <si>
    <t>ΦΟΥΡΝΩΝ ΚΟΡΣΕΩΝ</t>
  </si>
  <si>
    <t>Φούρνοι Κορσεών</t>
  </si>
  <si>
    <t>ΦΟΥΡΝΟΙ ΚΟΡΣΕΩΝ</t>
  </si>
  <si>
    <t>1ο ΔΗΜΟΤΙΚΟ ΣΧΟΛΕΙΟ ΡΑΧΩΝ</t>
  </si>
  <si>
    <t>mail@dim-christ.sam.sch.gr</t>
  </si>
  <si>
    <t>ΙΚΑΡΙΑΣ</t>
  </si>
  <si>
    <t>ΡΑΧΕΣ ΙΚΑΡΙΑΣ</t>
  </si>
  <si>
    <t>ΧΡΙΣΤΟΣ ΡΑΧΩΝ</t>
  </si>
  <si>
    <t>ΔΗΜΟΤΙΚΟ ΣΧΟΛΕΙΟ ΘΥΜΑΙΝΑΣ</t>
  </si>
  <si>
    <t>mail@dim-thymain.sam.sch.gr</t>
  </si>
  <si>
    <t>ΘΥΜΑΙΝΑ</t>
  </si>
  <si>
    <t>ΘΥΜΑΙΝΑ ΦΟΥΡΝΩΝ</t>
  </si>
  <si>
    <t>ΔΗΜΟΤΙΚΟ ΣΧΟΛΕΙΟ ΕΥΔΗΛΟΥ</t>
  </si>
  <si>
    <t>mail@dim-evdil.sam.sch.gr</t>
  </si>
  <si>
    <t>ΙΚΑΡΙΑ</t>
  </si>
  <si>
    <t>ΕΥΔΗΛΟΣ</t>
  </si>
  <si>
    <t>2ο ΔΗΜΟΤΙΚΟ ΣΧΟΛΕΙΟ ΑΓΙΟΥ ΚΗΡΥΚΟΥ</t>
  </si>
  <si>
    <t>mail@2dim-ag-kiryk.sam.sch.gr</t>
  </si>
  <si>
    <t>ΑΓΙΟΣ ΚΗΡΥΚΟΣ</t>
  </si>
  <si>
    <t>ΝΗΠΙΑΓΩΓΕΙΟ ΕΥΔΗΛΟΥ</t>
  </si>
  <si>
    <t>mail@nip-evdil.sam.sch.gr</t>
  </si>
  <si>
    <t>ΕΥΔΗΛΟΥ</t>
  </si>
  <si>
    <t>ΕΥΔΗΛΟΣ ΙΚΑΡΙΑΣ</t>
  </si>
  <si>
    <t>1ο ΝΗΠΙΑΓΩΓΕΙΟ ΑΓΙΟΥ ΚΗΡΥΚΟΥ</t>
  </si>
  <si>
    <t>mail@nip-ag-kiryk.sam.sch.gr</t>
  </si>
  <si>
    <t>ΑΓΙΟΥ ΚΗΡΥΚΟΥ</t>
  </si>
  <si>
    <t>ΑΓΙΟΣ ΚΗΡΥΚΟΣ ΙΚΑΡΙΑΣ</t>
  </si>
  <si>
    <t>1ο ΔΗΜΟΤΙΚΟ ΣΧΟΛΕΙΟ ΑΓΙΟΥ ΚΗΡΥΚΟΥ</t>
  </si>
  <si>
    <t>mail@dim-kiryk.sam.sch.gr</t>
  </si>
  <si>
    <t>1ο ΝΗΠΙΑΓΩΓΕΙΟ ΣΑΜΟΥ</t>
  </si>
  <si>
    <t>mail@1nip-samou.sam.sch.gr</t>
  </si>
  <si>
    <t>Σάμου</t>
  </si>
  <si>
    <t>Μελισσού  2</t>
  </si>
  <si>
    <t>ΔΗΜΟΤΙΚΟ ΣΧΟΛΕΙΟ ΧΩΡΑΣ ΣΑΜΟΥ</t>
  </si>
  <si>
    <t>mail@dim-choras.sam.sch.gr</t>
  </si>
  <si>
    <t>2ο ΝΗΠΙΑΓΩΓΕΙΟ ΑΓΙΟΥ ΚΗΡΥΚΟΥ</t>
  </si>
  <si>
    <t>mail@2nip-ag-kiryk.sam.sch.gr</t>
  </si>
  <si>
    <t>Π.Ε. ΧΙΟΥ</t>
  </si>
  <si>
    <t>ΔΗΜΟΤΙΚΟ ΣΧΟΛΕΙΟ ΟΙΝΟΥΣΣΩΝ - ΑΠΟΣΤΟΛΟΣ ΠΑΥΛΟΣ</t>
  </si>
  <si>
    <t>mail@dim-oinous.chi.sch.gr</t>
  </si>
  <si>
    <t>ΟΙΝΟΥΣΣΩΝ</t>
  </si>
  <si>
    <t>ΟΙΝΟΥΣΣΕΣ</t>
  </si>
  <si>
    <t>ΔΗΜΟΤΙΚΟ ΣΧΟΛΕΙΟ ΚΑΜΠΟΧΩΡΑ - ΣΧΟΛΙΚΟ ΚΕΝΤΡΟ ΚΑΜΠΟΧΩΡΩΝ</t>
  </si>
  <si>
    <t>mail@dim-kampoch.chi.sch.gr</t>
  </si>
  <si>
    <t>ΧΙΟΥ</t>
  </si>
  <si>
    <t>ΚΑΜΠΟΧΩΡΑ ΧΙΟΥ</t>
  </si>
  <si>
    <t>ΒΑΣΙΛΕΩΝΟΙΚΟ  ΧΙΟΥ</t>
  </si>
  <si>
    <t>4ο ΝΗΠΙΑΓΩΓΕΙΟ ΕΥΡΕΤΗ ΒΑΡΒΑΣΙ ΧΙΟΥ - ΒΑΡΒΑΣΙΟΥ</t>
  </si>
  <si>
    <t>mail@4nip-chiou.chi.sch.gr</t>
  </si>
  <si>
    <t>ΕΥΡΕΤΗ ΒΑΡΒΑΣΙ ΧΙΟΥ</t>
  </si>
  <si>
    <t>ΚΥΠΡΟΥ 5</t>
  </si>
  <si>
    <t>11ο ΝΗΠΙΑΓΩΓΕΙΟ ΧΙΟΥ</t>
  </si>
  <si>
    <t>11nipchiou@gmail.com</t>
  </si>
  <si>
    <t>ΜΙΧΑΛΟΥ 25</t>
  </si>
  <si>
    <t>1ο ΝΗΠΙΑΓΩΓΕΙΟ ΚΑΜΠΟΧΩΡΩΝ ΧΙΟΥ "ΓΕΩΡΓΙΟΣ ΕΚΑΤΟΜΜΑΤΗΣ"</t>
  </si>
  <si>
    <t>mail@1nip-kampoch.chi.sch.gr</t>
  </si>
  <si>
    <t>ΚΑΜΠΟΧΩΡΑ-ΧΙΟΣ</t>
  </si>
  <si>
    <t>ΒΑΣΙΛΕΩΝΟΙΚΟ</t>
  </si>
  <si>
    <t>ΔΗΜΟΤΙΚΟ ΣΧΟΛΕΙΟ ΠΥΡΓΙΟΥ ΧΙΟΥ</t>
  </si>
  <si>
    <t>mail@dim-pyrgiou.chi.sch.gr</t>
  </si>
  <si>
    <t>ΠΥΡΓΙ</t>
  </si>
  <si>
    <t>12ο ΟΛΟΗΜΕΡΟ ΝΗΠΙΑΓΩΓΕΙΟ ΧΙΟΥ</t>
  </si>
  <si>
    <t>mail@12nip-chiou.chi.sch.gr</t>
  </si>
  <si>
    <t>ΠΑΝΑΓΙΑΣ ΤΟΥΡΛΩΤΗΣ 16</t>
  </si>
  <si>
    <t>7ο ΝΗΠΙΑΓΩΓΕΙΟ ΧΙΟΥ</t>
  </si>
  <si>
    <t>mail@7nip-chiou.chi.sch.gr</t>
  </si>
  <si>
    <t>ΡΙΖΑΡΙΟΥ 39</t>
  </si>
  <si>
    <t>ΔΗΜΟΤΙΚΟ ΣΧΟΛΕΙΟ ΛΙΒΑΔΙΩΝ-ΒΟΥΡΕΙΟ</t>
  </si>
  <si>
    <t>mail@dim-livad.chi.sch.gr</t>
  </si>
  <si>
    <t>ΛΙΒΑΔΙΑ-ΧΙΟΣ</t>
  </si>
  <si>
    <t>Γ. ΒΟΥΡΟΥ 91</t>
  </si>
  <si>
    <t>ΔΗΜΟΤΙΚΟ ΣΧΟΛΕΙΟ ΘΟΛΟΠΟΤΑΜΙΟΥ</t>
  </si>
  <si>
    <t>mail@dim-tholop.chi.sch.gr</t>
  </si>
  <si>
    <t>ΘΟΛΟΠΟΤΑΜΙ ,</t>
  </si>
  <si>
    <t>ΔΗΜΟΤΙΚΟ ΣΧΟΛΕΙΟ ΝΕΝΗΤΩΝ</t>
  </si>
  <si>
    <t>mail@dim-nenit.chi.sch.gr</t>
  </si>
  <si>
    <t>ΝΕΝΗΤΑ,</t>
  </si>
  <si>
    <t>ΝΕΝΗΤΑ</t>
  </si>
  <si>
    <t>ΔΗΜΟΤΙΚΟ ΣΧΟΛΕΙΟ ΚΑΛΛΙΜΑΣΙΑΣ - "ΙΩΑΚΕΙΜΕΙΟ"</t>
  </si>
  <si>
    <t>mail@dim-kallim.chi.sch.gr</t>
  </si>
  <si>
    <t>ΚΑΛΛΙΜΑΣΙΑ</t>
  </si>
  <si>
    <t>ΔΗΜΟΤΙΚΟ ΣΧΟΛΕΙΟ ΒΟΛΙΣΣΟΥ</t>
  </si>
  <si>
    <t>mail@dim-voliss.chi.sch.gr</t>
  </si>
  <si>
    <t>ΧΙΟΣ</t>
  </si>
  <si>
    <t>ΒΟΛΙΣΣΟΣ</t>
  </si>
  <si>
    <t>3ο ΔΗΜΟΤΙΚΟ ΣΧΟΛΕΙΟ ΧΙΟΥ</t>
  </si>
  <si>
    <t>mail@3dim-chiou.chi.sch.gr</t>
  </si>
  <si>
    <t>ΑΓΙΩΝ ΑΠΟΣΤΟΛΩΝ 18</t>
  </si>
  <si>
    <t>ΝΗΠΙΑΓΩΓΕΙΟ ΚΑΡΔΑΜΥΛΩΝ</t>
  </si>
  <si>
    <t>mail@1nip-kardam.chi.sch.gr</t>
  </si>
  <si>
    <t>ΚΑΡΔΑΜΥΛΩΝ</t>
  </si>
  <si>
    <t>ΚΑΡΔΑΜΥΛΑ</t>
  </si>
  <si>
    <t>ΝΗΠΙΑΓΩΓΕΙΟ ΚΑΜΠΟΥ</t>
  </si>
  <si>
    <t>mail@nip-kampou.chi.sch.gr</t>
  </si>
  <si>
    <t>ΚΑΜΠΟΥ ΧΙΟΣ</t>
  </si>
  <si>
    <t>ΚΛΟΥΒΑ ΚΑΜΠΟΣ</t>
  </si>
  <si>
    <t>2ο ΝΗΠΙΑΓΩΓΕΙΟ ΧΙΟΥ</t>
  </si>
  <si>
    <t>mail@2nip-chiou.chi.sch.gr</t>
  </si>
  <si>
    <t>ΔΡΟΣΟΥ 8</t>
  </si>
  <si>
    <t>3ο ΝΗΠΙΑΓΩΓΕΙΟ ΒΡΟΝΤΑΔΟΥ</t>
  </si>
  <si>
    <t>mail@3nip-vront.chi.sch.gr</t>
  </si>
  <si>
    <t>ΒΡΟΝΤΑΔΟΥ</t>
  </si>
  <si>
    <t>ΠΑΠΑ ΜΑΡΚΟΥ ΒΑΣΙΛΑΚΗ 28</t>
  </si>
  <si>
    <t>6ο ΝΗΠΙΑΓΩΓΕΙΟ ΧΙΟΥ</t>
  </si>
  <si>
    <t>6nipchi@sch.gr</t>
  </si>
  <si>
    <t>8ο ΝΗΠΙΑΓΩΓΕΙΟ ΧΙΟΥ</t>
  </si>
  <si>
    <t>mail@8nip-chiou.chi.sch.gr</t>
  </si>
  <si>
    <t>ΑΓ. ΑΠΟΣΤΟΛΩΝ 38</t>
  </si>
  <si>
    <t>ΣΧΟΛΙΚΟ ΚΕΝΤΡΟ ΚΑΡΔΑΜΥΛΩΝ</t>
  </si>
  <si>
    <t>mail@dim-kardam.chi.sch.gr</t>
  </si>
  <si>
    <t>ΚΑΡΔΑΜΥΛΑ-ΜΑΡΜΑΡΟ</t>
  </si>
  <si>
    <t>ΔΗΜΟΤΙΚΟ ΣΧΟΛΕΙΟ ΚΑΜΠΟΥ</t>
  </si>
  <si>
    <t>mail@dim-kampou.chi.sch.gr</t>
  </si>
  <si>
    <t>ΚΑΜΠΟΣ</t>
  </si>
  <si>
    <t>ΚΛΟΥΒΑ-ΚΑΜΠΟΣ</t>
  </si>
  <si>
    <t>ΔΗΜΟΤΙΚΟ ΣΧΟΛΕΙΟ ΨΑΡΩΝ</t>
  </si>
  <si>
    <t>mail@dim-psaron.chi.sch.gr</t>
  </si>
  <si>
    <t>ΨΑΡΩΝ</t>
  </si>
  <si>
    <t>ΨΑΡA</t>
  </si>
  <si>
    <t>ΨΑΡΑ</t>
  </si>
  <si>
    <t>3ο Πειραματικό Νηπιαγωγείο Χίου</t>
  </si>
  <si>
    <t>mail@3nip-peir-chiou.chi.sch.gr</t>
  </si>
  <si>
    <t>9ο ΔΗΜΟΤΙΚΟ ΣΧΟΛΕΙΟ ΧΙΟΥ - ΚΑΡΡΑΔΕΙΟ</t>
  </si>
  <si>
    <t>mail@9dim-chiou.chi.sch.gr</t>
  </si>
  <si>
    <t>ΙΩΑΝΝΟΥ ΚΑΡΡΑ 7</t>
  </si>
  <si>
    <t>6ο  ΔΗΜΟΤΙΚΟ ΣΧΟΛΕΙΟ ΧΙΟΥ</t>
  </si>
  <si>
    <t>6dimchi@sch.gr</t>
  </si>
  <si>
    <t>ΙΩΑΝΝΟΥ ΠΑΤΕΡΑ 3</t>
  </si>
  <si>
    <t>1ο ΔΗΜΟΤΙΚΟ ΣΧΟΛΕΙΟ ΧΙΟΥ</t>
  </si>
  <si>
    <t>mail@1dim-chiou.chi.sch.gr</t>
  </si>
  <si>
    <t>ΔΙΑΜΑΝΤΗ Ι. ΠΑΤΕΡΑ 8</t>
  </si>
  <si>
    <t>3ο ΔΗΜΟΤΙΚΟ ΣΧΟΛΕΙΟ ΒΡΟΝΤΑΔΟΥ - ΜΑΡΓΑΡΩΝΕΙΟ</t>
  </si>
  <si>
    <t>mail@3dim-vront.chi.sch.gr</t>
  </si>
  <si>
    <t>ΒΡΟΝΤΑΔΟΣ</t>
  </si>
  <si>
    <t>ΝΗΠΙΑΓΩΓΕΙΟ ΠΥΡΓΙΟΥ - ΚΩΝΣΤΑΝΤΙΝΟΣ ΚΑΙ ΓΑΡΟΥΦΑΛΙΑ ΛΑΓΟΥΔΗ</t>
  </si>
  <si>
    <t>mail@nip-pirg.chi.sch.gr</t>
  </si>
  <si>
    <t>ΠΥΡΓΙΟΥ</t>
  </si>
  <si>
    <t>1ο  ΝΗΠΙΑΓΩΓΕΙΟ ΑΓΙΟΥ ΜΗΝΑ-ΝΕΟΧΩΡΙΟΥ - ΚΟΥΤΣΟΥΡΑΔΕΙΟΣ ΣΧΟΛΗ</t>
  </si>
  <si>
    <t>mail@1nip-ag-mina.chi.sch.gr</t>
  </si>
  <si>
    <t>ΑΓΙΟΥ ΜΗΝΑ-ΝΕΟΧΩΡΙΟΥ</t>
  </si>
  <si>
    <t>ΝΕΟΧΩΡΙ</t>
  </si>
  <si>
    <t>1ο ΝΗΠΙΑΓΩΓΕΙΟ ΒΡΟΝΤΑΔΟΥ</t>
  </si>
  <si>
    <t>mail@1nip-vront.chi.sch.gr</t>
  </si>
  <si>
    <t>ΑΓΙΟΣ ΓΕΩΡΓΙΟΣ 30</t>
  </si>
  <si>
    <t>7ο  ΔΗΜΟΤΙΚΟ ΣΧΟΛΕΙΟ ΧΙΟΥ  -  "ΓΙΩΡΓΗΣ ΚΡΟΚΟΣ"</t>
  </si>
  <si>
    <t>mail@7dim-chiou.chi.sch.gr</t>
  </si>
  <si>
    <t xml:space="preserve"> ΧΙΟΣ</t>
  </si>
  <si>
    <t>ΓΛΥΠΤΗ 24</t>
  </si>
  <si>
    <t>5ο ΔΗΜΟΤΙΚΟ ΣΧΟΛΕΙΟ ΧΙΟΥ</t>
  </si>
  <si>
    <t>5dimchi@sch.gr</t>
  </si>
  <si>
    <t>Βαρβάσι</t>
  </si>
  <si>
    <t>Κύπρου 11</t>
  </si>
  <si>
    <t>2ο  ΠΕΙΡΑΜΑΤΙΚΟ ΔΗΜΟΤΙΚΟ ΣΧΟΛΕΙΟ ΧΙΟΥ</t>
  </si>
  <si>
    <t>mail@2dim-chiou.chi.sch.gr</t>
  </si>
  <si>
    <t>ΜΙΧΑΛΩΝ 9</t>
  </si>
  <si>
    <t>8ο ΔΗΜΟΤΙΚΟ ΣΧΟΛΕΙΟ ΧΙΟΥ</t>
  </si>
  <si>
    <t>mail@8dim-chiou.chi.sch.gr</t>
  </si>
  <si>
    <t>ΑΡΧΙΕΠΙΣΚΟΠΟΥ ΜΑΚΑΡΙΟΥ 19</t>
  </si>
  <si>
    <t>ΑΣΤΙΚΗ ΣΧΟΛΗ ΧΙΟΥ-11ο ΔΗΜΟΤΙΚΟ</t>
  </si>
  <si>
    <t>mail@11dim-chiou.chi.sch.gr</t>
  </si>
  <si>
    <t>ΖΟΛΩΤΑ 2</t>
  </si>
  <si>
    <t>ΔΗΜΟΤΙΚΟ ΣΧΟΛΕΙΟ ΑΓΙΟΥ ΜΗΝΑ- ΘΥΜΙΑΝΩΝ  - ΙΩΝ Ο ΧΙΟΣ</t>
  </si>
  <si>
    <t>mail@dim-thimian.chi.sch.gr</t>
  </si>
  <si>
    <t>Θυμιανά</t>
  </si>
  <si>
    <t>ΜΙΧΑΛΩΝ 40</t>
  </si>
  <si>
    <t>4ο ΔΗΜΟΤΙΚΟ ΣΧΟΛΕΙΟ ΧΙΟΥ</t>
  </si>
  <si>
    <t>mail@4dim-chiou.chi.sch.gr</t>
  </si>
  <si>
    <t>2ο  ΔΗΜΟΤΙΚΟ ΣΧΟΛΕΙΟ ΒΡΟΝΤΑΔΟΥ - ΠΑΝΑΓΙΑΣ ΕΡΕΙΘΙΑΝΗΣ</t>
  </si>
  <si>
    <t>mail@2dim-vront.chi.sch.gr</t>
  </si>
  <si>
    <t>Κ. ΦΟΡΟΥ 15</t>
  </si>
  <si>
    <t>1ο  ΔΗΜΟΤΙΚΟ ΣΧΟΛΕΙΟ ΒΡΟΝΤΑΔΟΥ - ΑΓΙΟΥ ΓΕΩΡΓΙΟΥ</t>
  </si>
  <si>
    <t>mail@1dim-vront.chi.sch.gr</t>
  </si>
  <si>
    <t>ΑΓ. ΓΕΩΡΓΙΟΥ 39</t>
  </si>
  <si>
    <t>ΔΗΜΟΤΙΚΟ ΣΧΟΛΕΙΟ ΚΑΡΥΩΝ ΧΙΟΥ</t>
  </si>
  <si>
    <t>mail@dim-karyon.chi.sch.gr</t>
  </si>
  <si>
    <t>ΚΑΡΥΕΣ</t>
  </si>
  <si>
    <t>ΔΥΤΙΚΗΣ ΕΛΛΑΔΑΣ</t>
  </si>
  <si>
    <t>Π.Ε. ΑΙΤΩΛΟΑΚΑΡΝΑΝΙΑΣ</t>
  </si>
  <si>
    <t>1ο ΝΗΠΙΑΓΩΓΕΙΟ ΑΓΡΙΝΙΟΥ</t>
  </si>
  <si>
    <t>mail@1nip-agrin.ait.sch.gr</t>
  </si>
  <si>
    <t>ΑΓΡΙΝΙΟΥ</t>
  </si>
  <si>
    <t>ΠΡΟΟΔΟΥ 6</t>
  </si>
  <si>
    <t>1ο ΔΗΜΟΤΙΚΟ ΣΧΟΛΕΙΟ ΜΕΣΟΛΟΓΓΙΟΥ</t>
  </si>
  <si>
    <t>mail@1dim-mesol.ait.sch.gr</t>
  </si>
  <si>
    <t>ΙΕΡΑΣ ΠΟΛΗΣ ΜΕΣΟΛΟΓΓΙΟΥ</t>
  </si>
  <si>
    <t>ΜΕΣΟΛΟΓΓΙ</t>
  </si>
  <si>
    <t>ΝΩΝΤΑ ΓΕΩΡΓΑΚΗ- ΠΛΩΣΤΑΙΝΑ</t>
  </si>
  <si>
    <t>ΝΗΠΙΑΓΩΓΕΙΟ ΠΑΛΑΙΡΟΥ</t>
  </si>
  <si>
    <t>mail@nip-palair.ait.sch.gr</t>
  </si>
  <si>
    <t>ΑΚΤΙΟΥ-ΒΟΝΙΤΣΑΣ</t>
  </si>
  <si>
    <t>ΚΕΚΡΟΠΙΑΣ</t>
  </si>
  <si>
    <t>ΠΑΛΑΙΡΟΣ</t>
  </si>
  <si>
    <t>1ο ΔΗΜΟΤΙΚΟ ΣΧΟΛΕΙΟ ΑΓΙΟΥ ΚΩΝΣΤΑΝΤΙΝΟΥ</t>
  </si>
  <si>
    <t>mail@1dim-ag-konst.ait.sch.gr</t>
  </si>
  <si>
    <t>Άγιος Κωνσταντίνος</t>
  </si>
  <si>
    <t>ΑΝΑΠΑΥΣΕΩΣ 1</t>
  </si>
  <si>
    <t>6ο ΝΗΠΙΑΓΩΓΕΙΟ ΑΓΡΙΝΙΟΥ</t>
  </si>
  <si>
    <t>mail@6nip-agrin.ait.sch.gr</t>
  </si>
  <si>
    <t>ΑΡΓΥΡΟΚΑΣΤΡΟΥ 4</t>
  </si>
  <si>
    <t>5ο ΝΗΠΙΑΓΩΓΕΙΟ ΑΓΡΙΝΙΟΥ</t>
  </si>
  <si>
    <t>mail@5nip-agrin.ait.sch.gr</t>
  </si>
  <si>
    <t>ΒΛΑΧΕΡΝΩΝ</t>
  </si>
  <si>
    <t>8ο ΝΗΠΙΑΓΩΓΕΙΟ ΑΓΡΙΝΙΟΥ</t>
  </si>
  <si>
    <t>mail@8nip-agrin.ait.sch.gr</t>
  </si>
  <si>
    <t>ΗΡΩΩΝ ΠΟΛΥΤΕΧΝΕΙΟΥ 95</t>
  </si>
  <si>
    <t>1ο ΝΗΠΙΑΓΩΓΕΙΟ ΑΓΙΟΥ ΚΩΝΣΤΑΝΤΙΝΟΥ</t>
  </si>
  <si>
    <t>mail@1nip-ag-konst.ait.sch.gr</t>
  </si>
  <si>
    <t>Αγιος Κωνσταντίνος Αγρινίου</t>
  </si>
  <si>
    <t>Μαγνησίας 4</t>
  </si>
  <si>
    <t>12ο ΝΗΠΙΑΓΩΓΕΙΟ ΑΓΡΙΝΙΟΥ</t>
  </si>
  <si>
    <t>mail@12nip-agrin.ait.sch.gr</t>
  </si>
  <si>
    <t>ΚΑΣΤΕΛΟΥ 3</t>
  </si>
  <si>
    <t>4ο ΝΗΠΙΑΓΩΓΕΙΟ ΑΓΡΙΝΙΟΥ</t>
  </si>
  <si>
    <t>mail@4nip-agrin.ait.sch.gr</t>
  </si>
  <si>
    <t>ΠΟΙΗΤΩΝ</t>
  </si>
  <si>
    <t>7ο ΝΗΠΙΑΓΩΓΕΙΟ ΑΓΡΙΝΙΟΥ</t>
  </si>
  <si>
    <t>mail@7nip-agrin.ait.sch.gr</t>
  </si>
  <si>
    <t>Χ.ΝΙΚΟΛΑΟΥ</t>
  </si>
  <si>
    <t>13ο ΔΗΜΟΤΙΚΟ ΣΧΟΛΕΙΟ ΑΓΡΙΝΙΟΥ</t>
  </si>
  <si>
    <t>13dimag@sch.gr</t>
  </si>
  <si>
    <t>ΑΓΡΙΝΙΟ</t>
  </si>
  <si>
    <t>ΑΙΓΑΙΟΥ ΤΕΡΜΑ</t>
  </si>
  <si>
    <t>2ο ΝΗΠΙΑΓΩΓΕΙΟ ΠΑΝΑΙΤΩΛΙΟΥ</t>
  </si>
  <si>
    <t>mail@2nip-panait.ait.sch.gr</t>
  </si>
  <si>
    <t>ΠΑΝΑΙΤΩΛΙΟ</t>
  </si>
  <si>
    <t>ΝΗΠΙΑΓΩΓΕΙΟ ΔΟΚΙΜΙ</t>
  </si>
  <si>
    <t>mail@nip-dokim.ait.sch.gr</t>
  </si>
  <si>
    <t>ΔΟΚΙΜΙ</t>
  </si>
  <si>
    <t>ΑΓΙΟΥ ΙΩΑΝΝΗ 24</t>
  </si>
  <si>
    <t>15ο ΝΗΠΙΑΓΩΓΕΙΟ ΑΓΡΙΝΙΟΥ</t>
  </si>
  <si>
    <t>mail@15nip-agrin.ait.sch.gr</t>
  </si>
  <si>
    <t xml:space="preserve">Αγρίνιο   </t>
  </si>
  <si>
    <t>Χένδερσον 15</t>
  </si>
  <si>
    <t>12ο ΔΗΜΟΤΙΚΟ ΣΧΟΛΕΙΟ ΑΓΡΙΝΙΟΥ</t>
  </si>
  <si>
    <t>mail@12dim-agrin.ait.sch.gr</t>
  </si>
  <si>
    <t>ΤΕΡΜΑ ΙΩΝΙΑΣ</t>
  </si>
  <si>
    <t>ΔΗΜΟΤΙΚΟ ΣΧΟΛΕΙΟ ΠΛΑΓΙΑΣ</t>
  </si>
  <si>
    <t>dimplag@sch.gr</t>
  </si>
  <si>
    <t>ΠΛΑΓΙΑ</t>
  </si>
  <si>
    <t>ΠΛΑΓΙΑ ΑΙΤ/ΝΙΑΣ</t>
  </si>
  <si>
    <t>3ο ΝΗΠΙΑΓΩΓΕΙΟ ΑΓΡΙΝΙΟΥ</t>
  </si>
  <si>
    <t>mail@3nip-agrin.ait.sch.gr</t>
  </si>
  <si>
    <t>Αγρίνιο</t>
  </si>
  <si>
    <t>Θυσίας 39</t>
  </si>
  <si>
    <t>2ο ΝΗΠΙΑΓΩΓΕΙΟ ΑΓΡΙΝΙΟΥ</t>
  </si>
  <si>
    <t>mail@2nip-agrin.ait.sch.gr</t>
  </si>
  <si>
    <t>Φιλίππου Ακαρνάνος 11</t>
  </si>
  <si>
    <t>21ο ΝΗΠΙΑΓΩΓΕΙΟ ΑΓΡΙΝΙΟΥ</t>
  </si>
  <si>
    <t>mail@21nip-agrin.ait.sch.gr</t>
  </si>
  <si>
    <t>ΠΑΝΑΓΟΠΟΥΛΟΥ ΚΑΙ ΧΡΥΣΑΝΘΟΥ ΑΙΤΩΛΟΥ</t>
  </si>
  <si>
    <t>11ο ΝΗΠΙΑΓΩΓΕΙΟ ΑΓΡΙΝΙΟΥ</t>
  </si>
  <si>
    <t>mail@11nip-agrin.ait.sch.gr</t>
  </si>
  <si>
    <t>Χέντερσον 39</t>
  </si>
  <si>
    <t>10ο ΝΗΠΙΑΓΩΓΕΙΟ ΑΓΡΙΝΙΟΥ</t>
  </si>
  <si>
    <t>mail@10nip-agrin.ait.sch.gr</t>
  </si>
  <si>
    <t>ΑΓΡΑΦΩΝ 29</t>
  </si>
  <si>
    <t>3ο ΔΗΜΟΤΙΚΟ ΣΧΟΛΕΙΟ ΝΕΑΠΟΛΗΣ</t>
  </si>
  <si>
    <t>mail@3dim-neapol.ait.sch.gr</t>
  </si>
  <si>
    <t>ΜΕΓΑΛΗ ΧΩΡΑ</t>
  </si>
  <si>
    <t>1ο ΔΗΜΟΤΙΚΟ ΣΧΟΛΕΙΟ ΘΕΣΤΙΕΩΝ</t>
  </si>
  <si>
    <t>mail@1dim-thest.ait.sch.gr</t>
  </si>
  <si>
    <t>ΚΑΙΝΟΥΡΓΙΟ</t>
  </si>
  <si>
    <t>ΚΟΣΜΑ ΑΙΤΩΛΟΥ 135</t>
  </si>
  <si>
    <t>2ο ΔΗΜΟΤΙΚΟ ΣΧΟΛΕΙΟ ΑΓΙΟΥ ΚΩΝΣΤΑΝΤΙΝΟΥ</t>
  </si>
  <si>
    <t>mail@2dim-ag-konst.ait.sch.gr</t>
  </si>
  <si>
    <t>ΑΓΙΟΣ ΚΩΝΣΤΑΝΤΙΝΟΣ</t>
  </si>
  <si>
    <t>ΕΘΝΙΚΗΣ ΑΝΤΙΣΤΑΣΕΩΣ 51</t>
  </si>
  <si>
    <t>4ο ΔΗΜΟΤΙΚΟ ΣΧΟΛΕΙΟ ΜΕΣΟΛΟΓΓΙΟΥ</t>
  </si>
  <si>
    <t>mail@4dim-mesol.ait.sch.gr</t>
  </si>
  <si>
    <t>Ι. Π. Μεσολογγίου</t>
  </si>
  <si>
    <t>ΜΑΝΑΣ</t>
  </si>
  <si>
    <t>21ο ΔΗΜΟΤΙΚΟ ΣΧΟΛΕΙΟ ΑΓΡΙΝΙΟΥ_9010604</t>
  </si>
  <si>
    <t>mail@21dim-agrin.ait.sch.gr</t>
  </si>
  <si>
    <t>ΘΥΣΙΑΣ 14</t>
  </si>
  <si>
    <t>10ο ΔΗΜΟΤΙΚΟ ΣΧΟΛΕΙΟ ΑΓΡΙΝΙΟΥ</t>
  </si>
  <si>
    <t>mail@10dim-agrin.ait.sch.gr</t>
  </si>
  <si>
    <t>ΜΙΧΑΛΑΚΕΑ ΤΕΡΜΑ-ΠΕΡΙΜΕΤΡΙΚΗ ΑΓΡΙΝΙΟΥ</t>
  </si>
  <si>
    <t>2ο ΔΗΜΟΤΙΚΟ ΣΧΟΛΕΙΟ ΑΓΡΙΝΙΟΥ</t>
  </si>
  <si>
    <t>mail@2dim-agrin.ait.sch.gr</t>
  </si>
  <si>
    <t>ΔΩΡΙΜΑΧΟΥ 26 ΑΓΡΙΝΙΟ</t>
  </si>
  <si>
    <t>1ο ΔΗΜΟΤΙΚΟ ΣΧΟΛΕΙΟ ΠΑΛΑΙΡΟΥ</t>
  </si>
  <si>
    <t>mail@1dim-kekrop.ait.sch.gr</t>
  </si>
  <si>
    <t>ΕΘ.ΟΔΟΣ ΒΟΝΙΤΣΑΣ-ΠΑΛΑΙΡΟΥ</t>
  </si>
  <si>
    <t>ΝΗΠΙΑΓΩΓΕΙΟ ΛΟΥΤΡΟΥ ΑΜΦΙΛΟΧΙΑΣ</t>
  </si>
  <si>
    <t>mail@nip-loutr.ait.sch.gr</t>
  </si>
  <si>
    <t>ΑΜΦΙΛΟΧΙΑΣ</t>
  </si>
  <si>
    <t>ΛΟΥΤΡΟ</t>
  </si>
  <si>
    <t>2ο ΔΗΜΟΤΙΚΟ ΣΧΟΛΕΙΟ ΚΑΤΟΧΗΣ</t>
  </si>
  <si>
    <t>mail@2dim-katoch.ait.sch.gr</t>
  </si>
  <si>
    <t>ΚΑΤΟΧΗ- ΜΕΣΟΛΟΓΓΙΟΥ</t>
  </si>
  <si>
    <t>ΑΡΧΑΙΑΣ ΟΙΝΙΑΔΟΣ 1</t>
  </si>
  <si>
    <t>9ο ΔΗΜΟΤΙΚΟ ΣΧΟΛΕΙΟ ΑΓΡΙΝΙΟΥ</t>
  </si>
  <si>
    <t>mail@9dim-agrin.ait.sch.gr</t>
  </si>
  <si>
    <t>ΤΕΡΜΑ ΨΗΛΟΒΡΑΧΟΥ</t>
  </si>
  <si>
    <t>2ο ΔΗΜΟΤΙΚΟ ΣΧΟΛΕΙΟ ΑΙΤΩΛΙΚΟΥ</t>
  </si>
  <si>
    <t>mail@2dim-aitol.ait.sch.gr</t>
  </si>
  <si>
    <t>ΑΙΤΩΛΙΚΟ</t>
  </si>
  <si>
    <t>ΑΝΑΤΟΛΙΚΗ ΠΑΡΑΛΙΑ</t>
  </si>
  <si>
    <t>ΔΗΜΟΤΙΚΟ ΣΧΟΛΕΙΟ ΛΕΠΕΝΟΥΣ</t>
  </si>
  <si>
    <t>mail@dim-lepen.ait.sch.gr</t>
  </si>
  <si>
    <t>ΛΕΠΕΝΟΥ</t>
  </si>
  <si>
    <t>ΔΗΜΟΤΙΚΟ ΣΧΟΛΕΙΟ ΘΕΡΜΟΥ</t>
  </si>
  <si>
    <t>mail@dim-therm.ait.sch.gr</t>
  </si>
  <si>
    <t>ΘΕΡΜΟΥ</t>
  </si>
  <si>
    <t>ΘΕΡΜΟ</t>
  </si>
  <si>
    <t>ΔΗΜΟΤΙΚΟ ΣΧΟΛΕΙΟ ΦΥΤΕΙΩΝ</t>
  </si>
  <si>
    <t>mail@dim-fyteion.ait.sch.gr</t>
  </si>
  <si>
    <t>ΞΗΡΟΜΕΡΟΥ</t>
  </si>
  <si>
    <t>ΦΥΤΕΙΕΣ</t>
  </si>
  <si>
    <t>2ο ΔΗΜΟΤΙΚΟ ΣΧΟΛΕΙΟ ΘΕΣΤΙΕΩΝ</t>
  </si>
  <si>
    <t>mail@2dim-thest.ait.sch.gr</t>
  </si>
  <si>
    <t>Καινούργιο</t>
  </si>
  <si>
    <t>1ο ΔΗΜΟΤΙΚΟ ΣΧΟΛΕΙΟ ΑΣΤΑΚΟΥ</t>
  </si>
  <si>
    <t>mail@dim-astak.ait.sch.gr</t>
  </si>
  <si>
    <t>Αστακός</t>
  </si>
  <si>
    <t>Γεωργίου Καραμούζη 2</t>
  </si>
  <si>
    <t>ΔΗΜΟΤΙΚΟ ΣΧΟΛΕΙΟ ΓΑΒΑΛΟΥΣ</t>
  </si>
  <si>
    <t>mail@dim-gaval.ait.sch.gr</t>
  </si>
  <si>
    <t>ΓΑΒΑΛΟΥ</t>
  </si>
  <si>
    <t>6ο ΔΗΜΟΤΙΚΟ ΣΧΟΛΕΙΟ ΜΕΣΟΛΟΓΓΙΟΥ</t>
  </si>
  <si>
    <t>mail@6dim-mesol.ait.sch.gr</t>
  </si>
  <si>
    <t>ΛΟΥΚΗ ΑΚΡΙΤΑ 126</t>
  </si>
  <si>
    <t>2ο ΔΗΜΟΤΙΚΟ ΣΧΟΛΕΙΟ ΝΕΟΧΩΡΙΟΥ</t>
  </si>
  <si>
    <t>mail@2dim-neoch.ait.sch.gr</t>
  </si>
  <si>
    <t>ΝΕΟΧΩΡΙ ΟΙΝΙΑΔΩΝ</t>
  </si>
  <si>
    <t>1ο ΝΗΠΙΑΓΩΓΕΙΟ ΚΑΤΟΧΗΣ</t>
  </si>
  <si>
    <t>mail@2nip-katoch.ait.sch.gr</t>
  </si>
  <si>
    <t>ΚΑΤΟΧΗΣ</t>
  </si>
  <si>
    <t>ΚΑΤΟΧΗ</t>
  </si>
  <si>
    <t>1ο ΝΗΠΙΑΓΩΓΕΙΟ ΜΕΣΟΛΟΓΓΙΟΥ</t>
  </si>
  <si>
    <t>mail@1nip-mesol.ait.sch.gr</t>
  </si>
  <si>
    <t>ΜΕΣΟΛΟΓΓΙΟΥ</t>
  </si>
  <si>
    <t>ΙΩΣΗΦ ΡΩΓΩΝ 1</t>
  </si>
  <si>
    <t>2ο ΝΗΠΙΑΓΩΓΕΙΟ ΜΕΣΟΛΟΓΓΙΟΥ</t>
  </si>
  <si>
    <t>mail@2nip-messol.ait.sch.gr</t>
  </si>
  <si>
    <t>ΚΥΠΡΟΥ 80</t>
  </si>
  <si>
    <t>1ο ΝΗΠΙΑΓΩΓΕΙΟ ΝΕΟΧΩΡΙΟΥ</t>
  </si>
  <si>
    <t>mail@1nip-neoch.ait.sch.gr</t>
  </si>
  <si>
    <t>ΝΕΟΧΩΡΙΟΥ</t>
  </si>
  <si>
    <t>16ο ΔΗΜΟΤΙΚΟ ΣΧΟΛΕΙΟ ΑΓΡΙΝΙΟΥ</t>
  </si>
  <si>
    <t>mail@16dim-agrin.ait.sch.gr</t>
  </si>
  <si>
    <t>ΣΥΝΟΙΚΙΣΜΟΣ ΑΓ. ΒΑΡΒΑΡΑΣ - ΟΛΓΑΣ ΠΑΠΑΣΤΑΜΟΥ 2</t>
  </si>
  <si>
    <t>1ο ΝΗΠΙΑΓΩΓΕΙΟ ΑΙΤΩΛΙΚΟΥ</t>
  </si>
  <si>
    <t>mail@nip-aitol.ait.sch.gr</t>
  </si>
  <si>
    <t>ΑΙΤΩΛΙΚΟΥ</t>
  </si>
  <si>
    <t>ΑΝΑΤΟΛΙΚΗ ΠΑΡΑΛΙΑ ΑΙΤΩΛΙΚΟΥ</t>
  </si>
  <si>
    <t>5ο ΔΗΜΟΤΙΚΟ ΣΧΟΛΕΙΟ ΑΓΡΙΝΙΟΥ</t>
  </si>
  <si>
    <t>mail@5dim-agrin.ait.sch.gr</t>
  </si>
  <si>
    <t>ΠΑΠΑΣΤΡΑΤΟΥ ΤΕΡΜΑ</t>
  </si>
  <si>
    <t>3ο ΔΗΜΟΤΙΚΟ ΣΧΟΛΕΙΟ ΑΓΡΙΝΙΟ</t>
  </si>
  <si>
    <t>mail@3dim-agrin.ait.sch.gr</t>
  </si>
  <si>
    <t>1ο ΔΗΜΟΤΙΚΟ ΣΧΟΛΕΙΟ ΑΙΤΩΛΙΚΟΥ</t>
  </si>
  <si>
    <t>mail@1dim-aitol.ait.sch.gr</t>
  </si>
  <si>
    <t>ΑΝΔΡΕΑ ΣΥΓΓΡΟΥ 12</t>
  </si>
  <si>
    <t>2ο ΝΗΠΙΑΓΩΓΕΙΟ ΒΟΝΙΤΣΑΣ</t>
  </si>
  <si>
    <t>mail@2nip-vonits.ait.sch.gr</t>
  </si>
  <si>
    <t>ΒΟΝΙΤΣΑΣ</t>
  </si>
  <si>
    <t>ΔΗΜΟΚΡΑΤΙΑΣ</t>
  </si>
  <si>
    <t>6ο ΝΗΠΙΑΓΩΓΕΙΟ ΜΕΣΟΛΟΓΓΙΟΥ</t>
  </si>
  <si>
    <t>mail@6nip-mesol.ait.sch.gr</t>
  </si>
  <si>
    <t>ΓΟΡΓΟΠΟΤΑΜΟΥ 126</t>
  </si>
  <si>
    <t>3ο ΝΗΠΙΑΓΩΓΕΙΟ ΜΕΣΟΛΟΓΓΙΟΥ</t>
  </si>
  <si>
    <t>mail@3nip-mesol.ait.sch.gr</t>
  </si>
  <si>
    <t>ΕΛ.ΒΕΝΙΖΕΛΟΥ 50</t>
  </si>
  <si>
    <t>20ο ΔΗΜΟΤΙΚΟ ΣΧΟΛΕΙΟ ΑΓΡΙΝΙΟΥ</t>
  </si>
  <si>
    <t>mail@20dim-agrin.ait.sch.gr</t>
  </si>
  <si>
    <t>ΑΧΙΛΛΕΑ ΠΑΡΑΣΧΟΥ 15</t>
  </si>
  <si>
    <t>ΔΗΜΟΤΙΚΟ ΣΧΟΛΕΙΟ ΕΥΗΝΟΧΩΡΙΟΥ</t>
  </si>
  <si>
    <t>mail@2dim-evinoch.ait.sch.gr</t>
  </si>
  <si>
    <t>ΕΥΗΝΟΧΩΡΙ</t>
  </si>
  <si>
    <t>1ο ΔΗΜΟΤΙΚΟ ΣΧΟΛΕΙΟ ΑΓΡΙΝΙΟΥ</t>
  </si>
  <si>
    <t>mail@1dim-agrin.ait.sch.gr</t>
  </si>
  <si>
    <t>ΠΑΠΑΙΩΑΝΝΟΥ 38</t>
  </si>
  <si>
    <t>2ο ΝΗΠΙΑΓΩΓΕΙΟ ΑΜΦΙΛΟΧΙΑ</t>
  </si>
  <si>
    <t>mail@2nip-amfil.ait.sch.gr</t>
  </si>
  <si>
    <t>ΑΜΦΙΛΟΧΙΑ</t>
  </si>
  <si>
    <t>ΒΛΑΣ.ΤΣΙΡΟΓΙΑΝΝΗ</t>
  </si>
  <si>
    <t>17ο ΔΗΜΟΤΙΚΟ ΣΧΟΛΕΙΟ ΑΓΡΙΝΙΟΥ</t>
  </si>
  <si>
    <t>mail@17dim-agrin.ait.sch.gr</t>
  </si>
  <si>
    <t>ΧΕΝΔΕΡΣΟΝ 39</t>
  </si>
  <si>
    <t>3ο ΝΗΠΙΑΓΩΓΕΙΟ ΑΙΤΩΛΙΚΟΥ</t>
  </si>
  <si>
    <t>mail@3nip-aitol.ait.sch.gr</t>
  </si>
  <si>
    <t>ΣΤΑΘΜΟΣ ΑΙΤΩΛΙΚΟΥ</t>
  </si>
  <si>
    <t>4ο ΝΗΠΙΑΓΩΓΕΙΟ ΜΕΣΟΛΟΓΓΙΟΥ</t>
  </si>
  <si>
    <t>mail@4nip-mesol.ait.sch.gr</t>
  </si>
  <si>
    <t>ΒΙΓΛΑ</t>
  </si>
  <si>
    <t>16ο ΝΗΠΙΑΓΩΓΕΙΟ ΑΓΡΙΝΙΟΥ</t>
  </si>
  <si>
    <t>mail@16nip-agrin.ait.sch.gr</t>
  </si>
  <si>
    <t>ΑΓΡΙΝΙΟY</t>
  </si>
  <si>
    <t>ΕΝΑΝΤΙ ΑΓΙΑΣ ΒΑΡΒΑΡΑΣ</t>
  </si>
  <si>
    <t>2ο ΔΗΜΟΤΙΚΟ ΣΧΟΛΕΙΟ ΝΕΑΠΟΛΗΣ</t>
  </si>
  <si>
    <t>mail@2dim-neapol.ait.sch.gr</t>
  </si>
  <si>
    <t>Νεάπολη</t>
  </si>
  <si>
    <t>ΤΡΙΑΝΤΑΙΙΚΑ</t>
  </si>
  <si>
    <t>4ο ΔΗΜΟΤΙΚΟ ΣΧΟΛΕΙΟ ΝΑΥΠΑΚΤΟΥ</t>
  </si>
  <si>
    <t>mail@4dim-nafpakt.ait.sch.gr</t>
  </si>
  <si>
    <t>ΝΑΥΠΑΚΤΙΑΣ</t>
  </si>
  <si>
    <t>ΝΑΥΠΑΚΤΟΣ</t>
  </si>
  <si>
    <t>Β ΕΡΓΑΤΙΚΕΣ ΚΑΤΟΙΚΙΕΣ</t>
  </si>
  <si>
    <t>ΔΗΜΟΤΙΚΟ ΣΧΟΛΕΙΟ ΠΕΝΤΑΛΟΦΟΥ</t>
  </si>
  <si>
    <t>mail@dim-pental.ait.sch.gr</t>
  </si>
  <si>
    <t>ΠΕΝΤΑΛΟΦΟΣ</t>
  </si>
  <si>
    <t>ΠΕΝΤΑΛΟΦΟΣ.</t>
  </si>
  <si>
    <t>ΔΗΜΟΤΙΚΟ ΣΧΟΛΕΙΟ ΠΑΡΑΒΟΛΑΣ</t>
  </si>
  <si>
    <t>mail@dim-parav.ait.sch.gr</t>
  </si>
  <si>
    <t>ΠΑΡΑΒΟΛΑ</t>
  </si>
  <si>
    <t>3ο ΝΗΠΙΑΓΩΓΕΙΟ ΝΑΥΠΑΚΤΟΥ</t>
  </si>
  <si>
    <t>mail@3nip-nafpakt.ait.sch.gr</t>
  </si>
  <si>
    <t>ΝΑΥΠΑΚΤΟΥ</t>
  </si>
  <si>
    <t>ΡΟΥΜΕΛΗΣ</t>
  </si>
  <si>
    <t>1ο ΔΗΜΟΤΙΚΟ ΣΧΟΛΕΙΟ ΝΕΟΧΩΡΙΟΥ</t>
  </si>
  <si>
    <t>mail@1dim-neoch.ait.sch.gr</t>
  </si>
  <si>
    <t>1ο ΝΗΠΙΑΓΩΓΕΙΟ ΒΟΝΙΤΣΑΣ</t>
  </si>
  <si>
    <t>mail@1nip-vonits.ait.sch.gr</t>
  </si>
  <si>
    <t>ΠΛΑΤΕΙΑ Γ.ΒΑΡΝΑΚΙΩΤΗ-ΕΡΓΑΤΙΚΕΣ ΚΑΤΟΙΚΙΕΣ-ΒΟΝΙΤΣΑ</t>
  </si>
  <si>
    <t>ΔΗΜΟΤΙΚΟ ΣΧΟΛΕΙΟ ΔΟΚΙΜΙΟΥ</t>
  </si>
  <si>
    <t>mail@dim-dokim.ait.sch.gr</t>
  </si>
  <si>
    <t>Αγίου Ιωάννου 17,  Δοκίμι</t>
  </si>
  <si>
    <t>1ο ΔΗΜΟΤΙΚΟ ΣΧΟΛΕΙΟ ΚΑΤΟΧΗΣ</t>
  </si>
  <si>
    <t>mail@1dim-katoch.ait.sch.gr</t>
  </si>
  <si>
    <t>Κατοχή</t>
  </si>
  <si>
    <t>ΝΗΠΙΑΓΩΓΕΙΟ ΑΝΤΙΡΡΙΟΥ</t>
  </si>
  <si>
    <t>mail@nip-antirr.ait.sch.gr</t>
  </si>
  <si>
    <t>ΑΝΤΙΡΡΙΟΥ</t>
  </si>
  <si>
    <t>ΑΝΤΙΡΡΙΟ</t>
  </si>
  <si>
    <t>5ο ΝΗΠΙΑΓΩΓΕΙΟ ΝΑΥΠΑΚΤΟΥ</t>
  </si>
  <si>
    <t>mail@5nip-nafpakt.ait.sch.gr</t>
  </si>
  <si>
    <t>ΠΑΛΑΙΟΠΑΝΑΓΙΑ</t>
  </si>
  <si>
    <t>6ο ΝΗΠΙΑΓΩΓΕΙΟ ΝΑΥΠΑΚΤΟΥ</t>
  </si>
  <si>
    <t>mail@6nip-nafpakt.ait.sch.gr</t>
  </si>
  <si>
    <t>8ο ΝΗΠΙΑΓΩΓΕΙΟ ΝΑΥΠΑΚΤΟΥ</t>
  </si>
  <si>
    <t>mail@8nip-nafpakt.ait.sch.gr</t>
  </si>
  <si>
    <t>ΕΘΝΙΚΗΣ ΣΥΜΦΙΛΙΩΣΗΣ 18</t>
  </si>
  <si>
    <t>2ο ΝΗΠΙΑΓΩΓΕΙΟ ΑΓΙΟΥ ΚΩΝΣΤΑΝΤΙΝΟΥ</t>
  </si>
  <si>
    <t>mail@2nip-ag-konst.ait.sch.gr</t>
  </si>
  <si>
    <t>ΑΓΙΟΥ ΚΩΝΣΤΑΝΤΙΝΟΥ</t>
  </si>
  <si>
    <t>ΑΡΓΥΡΟΚΑΣΤΡΟΥ &amp; ΦΙΛΕΛΛΗΝΩΝ</t>
  </si>
  <si>
    <t>19ο ΔΗΜΟΤΙΚΟ ΣΧΟΛΕΙΟ ΑΓΡΙΝΙΟΥ</t>
  </si>
  <si>
    <t>mail@19dim-agrin.ait.sch.gr</t>
  </si>
  <si>
    <t>ΤΕΡΜΑ ΚΟΚΚΑΛΗ</t>
  </si>
  <si>
    <t>ΔΗΜΟΤΙΚΟ ΣΧΟΛΕΙΟ ΞΗΡΟΠΗΓΑΔΟΥ</t>
  </si>
  <si>
    <t>mail@dim-xirop.ait.sch.gr</t>
  </si>
  <si>
    <t>Ξηροπήγαδο</t>
  </si>
  <si>
    <t>6ο ΔΗΜΟΤΙΚΟ ΣΧΟΛΕΙΟ ΑΓΡΙΝΙΟΥ</t>
  </si>
  <si>
    <t>6dimagr@sch.gr</t>
  </si>
  <si>
    <t>Μεγάλης Χώρας Τέρμα</t>
  </si>
  <si>
    <t>1ο ΔΗΜΟΤΙΚΟ ΣΧΟΛΕΙΟ ΝΑΥΠΑΚΤΟΥ</t>
  </si>
  <si>
    <t>mail@1dim-nafpakt.ait.sch.gr</t>
  </si>
  <si>
    <t>ΜΑΝΑΣΣΗ 4</t>
  </si>
  <si>
    <t>2ο ΔΗΜΟΤΙΚΟ ΣΧΟΛΕΙΟ ΜΕΣΟΛΟΓΓΙΟΥ</t>
  </si>
  <si>
    <t>mail@2dim-mesol.ait.sch.gr</t>
  </si>
  <si>
    <t xml:space="preserve"> Ι.Π.ΜΕΣΟΛΟΓΓΙΟΥ</t>
  </si>
  <si>
    <t>7ο ΔΗΜΟΤΙΚΟ ΣΧΟΛΕΙΟ ΝΑΥΠΑΚΤΟΥ "ΜΙΧΑΗΛ ΘΕΡΒΑΝΤΕΣ"</t>
  </si>
  <si>
    <t>mail@7dim-nafpakt.ait.sch.gr</t>
  </si>
  <si>
    <t>ΘΕΡΜΟΥ 60</t>
  </si>
  <si>
    <t>8ο ΔΗΜΟΤΙΚΟ ΣΧΟΛΕΙΟ ΑΓΡΙΝΙΟΥ</t>
  </si>
  <si>
    <t>mail@8dim-agrin.ait.sch.gr</t>
  </si>
  <si>
    <t>ΙΘΑΚΗΣ 3</t>
  </si>
  <si>
    <t>ΔΗΜΟΤΙΚΟ ΣΧΟΛΕΙΟ ΛΥΓΙΑ</t>
  </si>
  <si>
    <t>mail@dim-lygia.ait.sch.gr</t>
  </si>
  <si>
    <t>Λυγιάς,</t>
  </si>
  <si>
    <t>Λυγιά Ναυπάκτου</t>
  </si>
  <si>
    <t>18ο ΝΗΠΙΑΓΩΓΕΙΟ ΑΓΡΙΝΙΟΥ</t>
  </si>
  <si>
    <t>mail@18nip-agrin.ait.sch.gr</t>
  </si>
  <si>
    <t>ΗΡΩΩΝ ΠΟΛΥΤΕΧΝΕΙΟΥ 80</t>
  </si>
  <si>
    <t>2ο ΔΗΜΟΤΙΚΟ ΣΧΟΛΕΙΟ ΝΑΥΠΑΚΤΟΥ</t>
  </si>
  <si>
    <t>mail@2dim-nafpakt.ait.sch.gr</t>
  </si>
  <si>
    <t>Ναύπακτος</t>
  </si>
  <si>
    <t>ΝΗΠΙΑΓΩΓΕΙΟ ΑΣΤΑΚΟΥ</t>
  </si>
  <si>
    <t>mail@nip-astak.ait.sch.gr</t>
  </si>
  <si>
    <t>ΑΣΤΑΚΟΥ</t>
  </si>
  <si>
    <t>ΑΣΤΑΚΟΣ</t>
  </si>
  <si>
    <t>1ο ΔΗΜΟΤΙΚΟ ΣΧΟΛΕΙΟ ΑΜΦΙΛΟΧΙΑΣ</t>
  </si>
  <si>
    <t>mail@1dim-amfil.ait.sch.gr</t>
  </si>
  <si>
    <t>Γ. ΣΤΡΑΤΟΥ 696</t>
  </si>
  <si>
    <t>6ο ΔΗΜΟΤΙΚΟ ΣΧΟΛΕΙΟ ΝΑΥΠΑΚΤΟΥ</t>
  </si>
  <si>
    <t>mail@6dim-nafpakt.ait.sch.gr</t>
  </si>
  <si>
    <t>ΟΔΟΣ ΓΥΜΝΑΣΙΟΥ-ΛΥΓΙΑΣ</t>
  </si>
  <si>
    <t>ΔΗΜΟΤΙΚΟ ΣΧΟΛΕΙΟ ΑΝΤΙΡΡΙΟΥ</t>
  </si>
  <si>
    <t>mail@dim-antirr.ait.sch.gr</t>
  </si>
  <si>
    <t>Αντίρριo</t>
  </si>
  <si>
    <t>Κ. Κιτσοπάνου 12 / Αντίρριο</t>
  </si>
  <si>
    <t>ΔΗΜΟΤΙΚΟ ΣΧΟΛΕΙΟ Ν.ΧΑΛΚΙΟΠΟΥΛΟΥ</t>
  </si>
  <si>
    <t>mail@dim-chalk.ait.sch.gr</t>
  </si>
  <si>
    <t>Ν. ΧΑΛΚΙΟΠΟΥΛΟ ΙΝΑΧΟΥ</t>
  </si>
  <si>
    <t>Ν. ΧΑΛΚΙΟΠΟΥΛΟ</t>
  </si>
  <si>
    <t>3ο ΔΗΜΟΤΙΚΟ ΣΧΟΛΕΙΟ ΝΑΥΠΑΚΤΟΥ</t>
  </si>
  <si>
    <t>mail@3dim-nafpakt.ait.sch.gr</t>
  </si>
  <si>
    <t>ΑΡΤΕΜΙΔΟΣ ΑΙΤΩΛΗΣ 2</t>
  </si>
  <si>
    <t>3ο ΔΗΜΟΤΙΚΟ ΣΧΟΛΕΙΟ ΑΜΦΙΛΟΧΙΑΣ</t>
  </si>
  <si>
    <t>mail@3dim-amfil.ait.sch.gr</t>
  </si>
  <si>
    <t>ΑΓΙΟΥ ΑΘΑΝΑΣΙΟΥ  1</t>
  </si>
  <si>
    <t>2ο ΔΗΜΟΤΙΚΟ ΣΧΟΛΕΙΟ ΑΜΦΙΛΟΧΙΑΣ</t>
  </si>
  <si>
    <t>mail@2dim-amfil.ait.sch.gr</t>
  </si>
  <si>
    <t>ΓΕΩΡΓΙΟΥ ΚΑΡΑΙΣΚΑΚΗ</t>
  </si>
  <si>
    <t>11ο ΔΗΜΟΤΙΚΟ ΣΧΟΛΕΙΟ ΑΓΡΙΝΙΟΥ</t>
  </si>
  <si>
    <t>mail@11dim-agrin.ait.sch.gr</t>
  </si>
  <si>
    <t>ΧΕΝΤΕΡΣΟΝ 39</t>
  </si>
  <si>
    <t>ΔΗΜΟΤΙΚΟ ΣΧΟΛΕΙΟ ΛΟΥΤΡΟΥ ΑΜΦΙΛΟΧΙΑΣ</t>
  </si>
  <si>
    <t>mail@dim-loutr.ait.sch.gr</t>
  </si>
  <si>
    <t>3ο ΝΗΠΙΑΓΩΓΕΙΟ ΒΟΝΙΤΣΑΣ</t>
  </si>
  <si>
    <t>mail@3nip-vonits.ait.sch.gr</t>
  </si>
  <si>
    <t>ΟΠΛΑΡΧΗΓΟΥ ΒΑΡΝΑΚΙΩΤΗ</t>
  </si>
  <si>
    <t>5ο ΔΗΜΟΤΙΚΟ ΣΧΟΛΕΙΟ ΝΑΥΠΑΚΤΟΥ</t>
  </si>
  <si>
    <t>mail@5dim-nafpakt.ait.sch.gr</t>
  </si>
  <si>
    <t>7ο ΔΗΜΟΤΙΚΟ ΣΧΟΛΕΙΟ ΑΓΡΙΝΙΟΥ</t>
  </si>
  <si>
    <t>mail@7dim-agrin.ait.sch.gr</t>
  </si>
  <si>
    <t>ΓΟΥΝΑΡΗ   &amp;  ΜΥΣΤΡΑ 1</t>
  </si>
  <si>
    <t>ΔΗΜΟΤΙΚΟ ΣΧΟΛΕΙΟ ΚΑΤΟΥΝΑΣ</t>
  </si>
  <si>
    <t>mail@dim-katoun.ait.sch.gr</t>
  </si>
  <si>
    <t>ΚΑΤΟΥΝΑ</t>
  </si>
  <si>
    <t>1ο ΔΗΜΟΤΙΚΟ ΣΧΟΛΕΙΟ ΠΑΝΑΙΤΩΛΙΟΥ</t>
  </si>
  <si>
    <t>1dimpan@sch.gr</t>
  </si>
  <si>
    <t>ΧΑΡΙΛΑΟΥ ΤΡΙΚΟΥΠΗ</t>
  </si>
  <si>
    <t>2ο ΔΗΜΟΤΙΚΟ ΣΧΟΛΕΙΟ ΠΑΝΑΙΤΩΛΙΟΥ</t>
  </si>
  <si>
    <t>mail@2dim-panait.ait.sch.gr</t>
  </si>
  <si>
    <t>3ο ΔΗΜΟΤΙΚΟ ΣΧΟΛΕΙΟ ΑΙΤΩΛΙΚΟΥ</t>
  </si>
  <si>
    <t>mail@3dim-aitol.ait.sch.gr</t>
  </si>
  <si>
    <t>Αιτωλικό</t>
  </si>
  <si>
    <t>3ο ΔΗΜΟΤΙΚΟ ΣΧΟΛΕΙΟ ΜΕΣΟΛΟΓΓΙΟΥ</t>
  </si>
  <si>
    <t>mail@3dim-mesol.ait.sch.gr</t>
  </si>
  <si>
    <t>ΕΛΕΥΘΕΡΙΟΥ  ΒΕΝΙΖΕΛΟΥ 50</t>
  </si>
  <si>
    <t>ΔΗΜΟΤΙΚΟ ΣΧΟΛΕΙΟ ΚΑΝΔΗΛΑΣ</t>
  </si>
  <si>
    <t>mail@dim-kandil.ait.sch.gr</t>
  </si>
  <si>
    <t>ΚΑΝΔΗΛΑΣ</t>
  </si>
  <si>
    <t>ΚΑΝΔΗΛΑ</t>
  </si>
  <si>
    <t>1ο ΔΗΜΟΤΙΚΟ ΣΧΟΛΕΙΟ ΒΟΝΙΤΣΑΣ</t>
  </si>
  <si>
    <t>mail@1dim-vonits.ait.sch.gr</t>
  </si>
  <si>
    <t>ΒΟΝΙΤΣΑ</t>
  </si>
  <si>
    <t>Γ. ΚΑΡΑΪΣΚΑΚΗ 1  ΚΑΙ  Ν. ΣΤΡΑΤΟΥ</t>
  </si>
  <si>
    <t>4ο ΔΗΜΟΤΙΚΟ ΣΧΟΛΕΙΟ ΑΓΡΙΝΙΟΥ</t>
  </si>
  <si>
    <t>mail@4dim-agrin.ait.sch.gr</t>
  </si>
  <si>
    <t>ΠΑΝΟΥ ΣΟΥΛΟΥ 19</t>
  </si>
  <si>
    <t>1ο ΔΗΜΟΤΙΚΟ ΣΧΟΛΕΙΟ  ΝΕΑΠΟΛΗΣ</t>
  </si>
  <si>
    <t>mail@1dim-neapol.ait.sch.gr</t>
  </si>
  <si>
    <t>23ο ΝΗΠΙΑΓΩΓΕΙΟ ΑΓΡΙΝΙΟΥ</t>
  </si>
  <si>
    <t>mail@23nip-agrin.ait.sch.gr</t>
  </si>
  <si>
    <t>ΣΙΚΕΛΙΑΝΟΥ &amp; ΜΑΛΑΚΑΣΗ ΓΩΝΙΑ, ΘΕΣΗ ΡΟΥΠΑΚΙΑ</t>
  </si>
  <si>
    <t>Π.Ε. ΑΧΑΪΑΣ</t>
  </si>
  <si>
    <t>21ο ΔΗΜΟΤΙΚΟ ΣΧΟΛΕΙΟ ΠΑΤΡΩΝ</t>
  </si>
  <si>
    <t>mail@21dim-patras.ach.sch.gr</t>
  </si>
  <si>
    <t>ΠΑΤΡΕΩΝ</t>
  </si>
  <si>
    <t>ΠΑΤΡΑ</t>
  </si>
  <si>
    <t>Γ ΠΑΡΑΣΚΕΥΟΠΟΥΛΟΥ 1</t>
  </si>
  <si>
    <t>23ο ΝΗΠΙΑΓΩΓΕΙΟ ΠΑΤΡΩΝ</t>
  </si>
  <si>
    <t>mail@23nip-patras.ach.sch.gr</t>
  </si>
  <si>
    <t>ΠΑΤΡΩΝ</t>
  </si>
  <si>
    <t>ΘΕΟΤΟΚΟΠΟΥΛΟΥ 135</t>
  </si>
  <si>
    <t>44ο ΔΗΜΟΤΙΚΟ ΣΧΟΛΕΙΟ ΠΑΤΡΩΝ</t>
  </si>
  <si>
    <t>mail@44dim-patras.ach.sch.gr</t>
  </si>
  <si>
    <t>ΠΑΤΡA</t>
  </si>
  <si>
    <t>ΑΡΙΣΤΟΤΕΛΟΥΣ ΚΑΙ ΝΙΚΟΜΑΧΟΥ</t>
  </si>
  <si>
    <t>1ο ΔΗΜΟΤΙΚΟ ΣΧΟΛΕΙΟ ΟΒΡΥΑΣ</t>
  </si>
  <si>
    <t>mail@1dim-ovryas.ach.sch.gr</t>
  </si>
  <si>
    <t>Οβρυά</t>
  </si>
  <si>
    <t>ΝΙΚΟΛΑΟΥ ΝΤΕΒΕ 35</t>
  </si>
  <si>
    <t>47ο ΔΗΜΟΤΙΚΟ ΣΧΟΛΕΙΟ ΠΑΤΡΩΝ</t>
  </si>
  <si>
    <t>mail@47dim-patras.ach.sch.gr</t>
  </si>
  <si>
    <t>ΜΙΧΑΗΛ ΣΟΥΤΣΟΥ 24</t>
  </si>
  <si>
    <t>ΔΗΜΟΤΙΚΟ ΣΧΟΛΕΙΟ ΣΕΛΙΑΝΙΤΙΚΩΝ</t>
  </si>
  <si>
    <t>mail@dim-selian.ach.sch.gr</t>
  </si>
  <si>
    <t>ΑΙΓΙΑΛΕΙΑΣ</t>
  </si>
  <si>
    <t>ΣΕΛΙΑΝΙΤΙΚΑ</t>
  </si>
  <si>
    <t>53ο ΔΗΜΟΤΙΚΟ ΣΧΟΛΕΙΟ ΠΑΤΡΩΝ - ΗΛΙΑΣ ΚΑΤΣΑΟΥΝΟΣ</t>
  </si>
  <si>
    <t>mail@53dim-patras.ach.sch.gr</t>
  </si>
  <si>
    <t>Πάτρα</t>
  </si>
  <si>
    <t>Παπαναστασίου &amp; Ευβοίας 30</t>
  </si>
  <si>
    <t>4ο ΔΗΜΟΤΙΚΟ ΣΧΟΛΕΙΟ ΑΙΓΙΟΥ</t>
  </si>
  <si>
    <t>mail@4dim-aigiou.ach.sch.gr</t>
  </si>
  <si>
    <t>ΑΙΓΙΟ,</t>
  </si>
  <si>
    <t>ΠΑΡΟΔΟΣ ΠΑΥΛΟΥ ΜΕΛΑ</t>
  </si>
  <si>
    <t>39ο ΝΗΠΙΑΓΩΓΕΙΟ ΠΑΤΡΩΝ</t>
  </si>
  <si>
    <t>mail@39nip-patras.ach.sch.gr</t>
  </si>
  <si>
    <t>ΑΝΘΟΥΠΟΛΕΩΣ 90-ΠΑΤΡΑ</t>
  </si>
  <si>
    <t>ΔΗΜΟΤΙΚΟ ΣΧΟΛΕΙΟ ΣΑΡΑΒΑΛΙΟΥ</t>
  </si>
  <si>
    <t>mail@dim-sarav.ach.sch.gr</t>
  </si>
  <si>
    <t>Σαραβάλι</t>
  </si>
  <si>
    <t>Κεφαλοβρύσου 1 -ΣΑΡΑΒΑΛΙ ΠΑΤΡΩΝ</t>
  </si>
  <si>
    <t>36ο ΔΗΜΟΤΙΚΟ ΣΧΟΛΕΙΟ ΠΑΤΡΑΣ</t>
  </si>
  <si>
    <t>mail@36dim-patras.ach.sch.gr</t>
  </si>
  <si>
    <t>Ταντάλου &amp; πάροδος ΒΘ69</t>
  </si>
  <si>
    <t>41ο ΔΗΜΟΤΙΚΟ ΣΧΟΛΕΙΟ ΠΑΤΡΩΝ</t>
  </si>
  <si>
    <t>mail@41dim-patras.ach.sch.gr</t>
  </si>
  <si>
    <t>ΜΑΡΑΘΩΝΟΜΑΧΩΝ 40</t>
  </si>
  <si>
    <t>40ο ΝΗΠΙΑΓΩΓΕΙΟ ΠΑΤΡΩΝ</t>
  </si>
  <si>
    <t>mail@40nip-patras.ach.sch.gr</t>
  </si>
  <si>
    <t>ΙΩΑΝΝΟΥ ΔΑΜΑΣΚΗΝΟΥ 24</t>
  </si>
  <si>
    <t>1ο ΔΗΜΟΤΙΚΟ ΣΧΟΛΕΙΟ ΚΑΤΩ ΑΧΑΪΑΣ</t>
  </si>
  <si>
    <t>mail@1dim-k-achaias.ach.sch.gr</t>
  </si>
  <si>
    <t>ΔΥΤΙΚΗΣ ΑΧΑΙΑΣ</t>
  </si>
  <si>
    <t>ΚΑΤΩ ΑΧΑΪΑ</t>
  </si>
  <si>
    <t>ΤΕΡΜΑ ΑΣΗΜΑΚΟΠΟΥΛΟΥ</t>
  </si>
  <si>
    <t>ΔΗΜΟΤΙΚΟ ΣΧΟΛΕΙΟ ΜΙΝΤΙΛΟΓΛΙΟΥ</t>
  </si>
  <si>
    <t>mail@dim-mintil.ach.sch.gr</t>
  </si>
  <si>
    <t>Μιντιλόγλι</t>
  </si>
  <si>
    <t>ΑΓ ΚΩΝΣΤΑΝΤΙΝΟΥ 86</t>
  </si>
  <si>
    <t>46ο ΔΗΜΟΤΙΚΟ ΣΧΟΛΕΙΟ ΠΑΤΡΩΝ</t>
  </si>
  <si>
    <t>mail@46dim-patras.ach.sch.gr</t>
  </si>
  <si>
    <t>52ο ΔΗΜΟΤΙΚΟ ΣΧΟΛΕΙΟ ΠΑΤΡΩΝ</t>
  </si>
  <si>
    <t>mail@52dim-patras.ach.sch.gr</t>
  </si>
  <si>
    <t>ΟΥΡΑΝΟΥ 22 - ΚΡΥΑ ΙΤΕΩΝ</t>
  </si>
  <si>
    <t>ΔΗΜΟΤΙΚΟ ΣΧΟΛΕΙΟ ΑΓΙΟΥ ΒΑΣΙΛΕΙΟΥ</t>
  </si>
  <si>
    <t>mail@dim-ag-vasil.ach.sch.gr</t>
  </si>
  <si>
    <t>Άγιος Βασίλειος</t>
  </si>
  <si>
    <t>16ο ΝΗΠΙΑΓΩΓΕΙΟ ΠΑΤΡΩΝ</t>
  </si>
  <si>
    <t>mail@16nip-patras.ach.sch.gr</t>
  </si>
  <si>
    <t>ΜΙΛΤΙΑΔΟΥ  38</t>
  </si>
  <si>
    <t>18ο ΔΗΜΟΤΙΚΟ ΣΧΟΛΕΙΟ ΠΑΤΡΩΝ</t>
  </si>
  <si>
    <t>mail@18dim-patras.ach.sch.gr</t>
  </si>
  <si>
    <t>ΘΟΥΚΥΔΙΔΟΥ ΚΑΙ ΠΕΡΣΕΦΟΝΗΣ</t>
  </si>
  <si>
    <t>ΔΗΜΟΤΙΚΟ ΣΧΟΛΕΙΟ ΡΙΟΥ</t>
  </si>
  <si>
    <t>mail@dim-riou.ach.sch.gr</t>
  </si>
  <si>
    <t>Ρίο,</t>
  </si>
  <si>
    <t>ΣΩΜΕΡΣΕΤ 125</t>
  </si>
  <si>
    <t>45ο ΔΗΜΟΤΙΚΟ ΣΧΟΛΕΙΟ ΠΑΤΡΩΝ</t>
  </si>
  <si>
    <t>mail@45dim-patras.ach.sch.gr</t>
  </si>
  <si>
    <t>Άγγελου Σικελιανού 181</t>
  </si>
  <si>
    <t>54ο ΝΗΠΙΑΓΩΓΕΙΟ ΠΑΤΡΩΝ</t>
  </si>
  <si>
    <t>mail@54nip-patras.ach.sch.gr</t>
  </si>
  <si>
    <t>ΠΑΝΑΧΑΪΚΟΥ 51</t>
  </si>
  <si>
    <t>2ο ΔΗΜΟΤΙΚΟ ΣΧΟΛΕΙΟ ΠΑΡΑΛΙΑΣ</t>
  </si>
  <si>
    <t>mail@2dim-paral.ach.sch.gr</t>
  </si>
  <si>
    <t>ΠΑΡΑΛΙΑ</t>
  </si>
  <si>
    <t>ΕΙΚΟΣΤΗΣ ΠΕΜΠΤΗΣ ΜΑΡΤΙΟΥ 71Α</t>
  </si>
  <si>
    <t>29ο ΔΗΜΟΤΙΚΟ ΣΧΟΛΕΙΟ ΠΑΤΡΑΣ</t>
  </si>
  <si>
    <t>29dipat@sch.gr</t>
  </si>
  <si>
    <t>ΑΜΑΖΟΝΩΝ 32 &amp; ΑΥΤ. ΒΑΣΙΛΕΙΟΥ</t>
  </si>
  <si>
    <t>61ο ΔΗΜΟΤΙΚΟ ΣΧΟΛΕΙΟ ΠΑΤΡΩΝ</t>
  </si>
  <si>
    <t>mail@61dim-patras.ach.sch.gr</t>
  </si>
  <si>
    <t>Πάτρα,</t>
  </si>
  <si>
    <t>Μιλήτου 2</t>
  </si>
  <si>
    <t>ΝΗΠΙΑΓΩΓΕΙΟ ΔΙΑΚΟΠΤΟΥ</t>
  </si>
  <si>
    <t>mail@nip-diakopt.ach.sch.gr</t>
  </si>
  <si>
    <t>ΔΙΑΚΟΠΤΟΥ</t>
  </si>
  <si>
    <t>ΔΙΑΚΟΠΤΟ</t>
  </si>
  <si>
    <t>13ο ΝΗΠΙΑΓΩΓΕΙΟ ΠΑΤΡΩΝ - ΗΛΙΑΣ ΚΑΤΣΑΟΥΝΟΣ</t>
  </si>
  <si>
    <t>mail@13nip-patras.ach.sch.gr</t>
  </si>
  <si>
    <t>ΠΑΠΑΝΑΣΤΑΣΙΟΥ ΚΑΙ ΕΥΒΟΙΑΣ 30</t>
  </si>
  <si>
    <t>ΝΗΠΙΑΓΩΓΕΙΟ ΑΙΓΕΙΡΑΣ</t>
  </si>
  <si>
    <t>mail@nip-aigeir.ach.sch.gr</t>
  </si>
  <si>
    <t>ΑΙΓΕΙΡΑΣ</t>
  </si>
  <si>
    <t>ΜΑΡΜΑΡΑ ΑΙΓΕΙΡΑΣ  ΑΧΑΪΑΣ</t>
  </si>
  <si>
    <t>31ο ΝΗΠΙΑΓΩΓΕΙΟ ΠΑΤΡΩΝ</t>
  </si>
  <si>
    <t>mail@31nip-patras.ach.sch.gr</t>
  </si>
  <si>
    <t>ΜΑΡΑΘΩΝΟΜΑΧΩΝ 38</t>
  </si>
  <si>
    <t>10ο ΝΗΠΙΑΓΩΓΕΙΟ ΠΑΤΡΩΝ</t>
  </si>
  <si>
    <t>mail@10nip-patras.ach.sch.gr</t>
  </si>
  <si>
    <t>ΓΕΡΜΑΝΟΥ 186</t>
  </si>
  <si>
    <t>49ο ΔΗΜΟΤΙΚΟ ΣΧΟΛΕΙΟ ΠΑΤΡΩΝ</t>
  </si>
  <si>
    <t>mail@49dim-patras.ach.sch.gr</t>
  </si>
  <si>
    <t>ΠΑΡΟΔΟΣ ΑΥΣΤΡΑΛΙΑΣ 41</t>
  </si>
  <si>
    <t>2ο ΝΗΠΙΑΓΩΓΕΙΟ ΚΑΤΩ ΑΧΑΪΑΣ</t>
  </si>
  <si>
    <t>mail@2nip-kat-achaias.ach.sch.gr</t>
  </si>
  <si>
    <t>Κ ΑΧΑΪΑΣ</t>
  </si>
  <si>
    <t>ΑΓΙΑΣ ΤΡΙΑΔΟΣ 21</t>
  </si>
  <si>
    <t>12ο ΝΗΠΙΑΓΩΓΕΙΟ ΠΑΤΡΩΝ</t>
  </si>
  <si>
    <t>mail@12nip-patras.ach.sch.gr</t>
  </si>
  <si>
    <t>ΓΕΡΜΑΝΟΥ 184</t>
  </si>
  <si>
    <t>ΝΗΠΙΑΓΩΓΕΙΟ ΚΟΥΛΟΥΡΑΣ</t>
  </si>
  <si>
    <t>mail@nip-koulour.ach.sch.gr</t>
  </si>
  <si>
    <t>ΚΟΥΛΟΥΡΑΣ</t>
  </si>
  <si>
    <t>Μ.ΤΑΞΙΑΡΧΩΝ  62 ΚΟΥΛΟΥΡΑ ΑΙΓΙΟΥ</t>
  </si>
  <si>
    <t>ΝΗΠΙΑΓΩΓΕΙΟ ΜΙΝΤΙΛΟΓΛΙΟΥ</t>
  </si>
  <si>
    <t>mail@nip-mintil.ach.sch.gr</t>
  </si>
  <si>
    <t>ΜΙΝΤΙΛΟΓΛΙΟΥ</t>
  </si>
  <si>
    <t>ΛΟΥΚΟΠΟΥΛΟΥ</t>
  </si>
  <si>
    <t>ΔΗΜΟΤΙΚΟ ΣΧΟΛΕΙΟ ΚΑΛΑΒΡΥΤΩΝ ΑΓΛΑΪΑ ΚΟΝΤΗ - ΕΛΕΝΗ ΧΑΜΨΑ</t>
  </si>
  <si>
    <t>mail@dim-kalavr.ach.sch.gr</t>
  </si>
  <si>
    <t>ΚΑΛΑΒΡΥΤΩΝ</t>
  </si>
  <si>
    <t>Καλάβρυτα</t>
  </si>
  <si>
    <t>ΜΕΓΑΛΟΥ ΣΠΗΛΑΙΟΥ 13</t>
  </si>
  <si>
    <t>22ο ΝΗΠΙΑΓΩΓΕΙΟ ΠΑΤΡΩΝ</t>
  </si>
  <si>
    <t>mail@22nip-patras.ach.sch.gr</t>
  </si>
  <si>
    <t>Γ. ΠΑΡΑΣΚΕΥΟΠΟΥΛΟΥ 1</t>
  </si>
  <si>
    <t>26ο ΔΗΜΟΤΙΚΟ ΣΧΟΛΕΙΟ ΠΑΤΡΑΣ  (9060239)</t>
  </si>
  <si>
    <t>mail@26dim-patras.ach.sch.gr</t>
  </si>
  <si>
    <t>Αγίας Σοφίας 37</t>
  </si>
  <si>
    <t>48ο ΔΗΜΟΤΙΚΟ ΣΧΟΛΕΙΟ ΠΑΤΡΩΝ</t>
  </si>
  <si>
    <t>mail@48dim-patras.ach.sch.gr</t>
  </si>
  <si>
    <t>ΑΧΕΡΟΝΤΟΣ 8</t>
  </si>
  <si>
    <t>27ο ΝΗΠΙΑΓΩΓΕΙΟ ΠΑΤΡΩΝ</t>
  </si>
  <si>
    <t>mail@27nip-patras.ach.sch.gr</t>
  </si>
  <si>
    <t>ΣΤΡΟΦΑΔΩΝ ΚΑΙ Ρ ΚΩΧ</t>
  </si>
  <si>
    <t>37ο ΝΗΠΙΑΓΩΓΕΙΟ ΠΑΤΡΩΝ</t>
  </si>
  <si>
    <t>mail@37nip-patras.ach.sch.gr</t>
  </si>
  <si>
    <t>ΚΑΛΑΒΡΥΤΩΝ ΚΑΙ ΝΙΚΑΙΑΣ 2</t>
  </si>
  <si>
    <t>ΝΗΠΙΑΓΩΓΕΙΟ ΚΑΜΑΡΩΝ</t>
  </si>
  <si>
    <t>mail@nip-kamar.ach.sch.gr</t>
  </si>
  <si>
    <t>ΚΑΜΑΡΩΝ</t>
  </si>
  <si>
    <t>55ο ΝΗΠΙΑΓΩΓΕΙΟ ΠΑΤΡΩΝ</t>
  </si>
  <si>
    <t>mail@55nip-patras.ach.sch.gr</t>
  </si>
  <si>
    <t>ΔΩΔΩΝΗΣ 33</t>
  </si>
  <si>
    <t>61ο ΝΗΠΙΑΓΩΓΕΙΟ ΠΑΤΡΩΝ</t>
  </si>
  <si>
    <t>mail@61nip-patras.ach.sch.gr</t>
  </si>
  <si>
    <t>ΚΟΜΝΗΝΩΝ ΚΑΙ ΒΕΤΣΟΥ</t>
  </si>
  <si>
    <t>21ο ΝΗΠΙΑΓΩΓΕΙΟ ΠΑΤΡΩΝ</t>
  </si>
  <si>
    <t>mail@21nip-patras.ach.sch.gr</t>
  </si>
  <si>
    <t>ΣΑΜΟΘΡΑΚΗΣ ΚΑΙ ΔΑΦΝΗΣ</t>
  </si>
  <si>
    <t>ΔΗΜΟΤΙΚΟ ΣΧΟΛΕΙΟ ΛΑΚΚΟΠΕΤΡΑΣ</t>
  </si>
  <si>
    <t>mail@dim-lakkop.ach.sch.gr</t>
  </si>
  <si>
    <t>ΛΑΚΚΟΠΕΤΡΑ</t>
  </si>
  <si>
    <t>ΝΗΠΙΑΓΩΓΕΙΟ ΑΒΥΘΟΥ</t>
  </si>
  <si>
    <t>mail@nip-avyth.ach.sch.gr</t>
  </si>
  <si>
    <t>ΑΒΥΘΟΣ ΑΙΓΙΑΛΕΙΑΣ</t>
  </si>
  <si>
    <t>25ης Μαρτίου και Ταξιαρχών Άβυθος Αιγιαλείας</t>
  </si>
  <si>
    <t>Ολοήμερο Πειραματικό Νηπιαγωγείο ενταγμένο στο Πανεπιστήμιο</t>
  </si>
  <si>
    <t>ΠΕΙΡΑΜΑΤΙΚΟ ΝΗΠΙΑΓΩΓΕΙΟ ΠΑΝΕΠΙΣΤΗΜΙΟΥ ΠΑΤΡΩΝ (ΜΗ ΕΝΤΑΓΜΕΝΟ ΣΕ ΠΑΙΔΑΓΩΓΙΚΟ ΤΜΗΜΑ)</t>
  </si>
  <si>
    <t>mail@nip-aei-patras.ach.sch.gr</t>
  </si>
  <si>
    <t>Οδός Διαγόρα 1, Πανεπιστημιούπολη</t>
  </si>
  <si>
    <t>ΔΗΜΟΤΙΚΟ ΣΧΟΛΕΙΟ ΣΑΓΕΪΚΩΝ</t>
  </si>
  <si>
    <t>mail@dim-sageik.ach.sch.gr</t>
  </si>
  <si>
    <t>Σαγέικα</t>
  </si>
  <si>
    <t>ΣΑΓΕΪΚΑ</t>
  </si>
  <si>
    <t>5ο ΝΗΠΙΑΓΩΓΕΙΟ ΠΑΤΡΩΝ</t>
  </si>
  <si>
    <t>mail@5nip-patras.ach.sch.gr</t>
  </si>
  <si>
    <t>ΠΑΝΤΟΚΡΑΤΟΡΟΣ 3</t>
  </si>
  <si>
    <t>6ο ΝΗΠΙΑΓΩΓΕΙΟ ΠΑΤΡΩΝ</t>
  </si>
  <si>
    <t>mail@6nip-patras.ach.sch.gr</t>
  </si>
  <si>
    <t>ΡΗΓΑ ΦΕΡΑΙΟΥ &amp; ΣΑΤΩΒΡΙΑΝΔΟΥ</t>
  </si>
  <si>
    <t>60ο ΔΗΜΟΤΙΚΟ ΣΧΟΛΕΙΟ ΠΑΤΡΩΝ</t>
  </si>
  <si>
    <t>mail@60dim-patras.ach.sch.gr</t>
  </si>
  <si>
    <t xml:space="preserve">ΠΑΤΡΑ </t>
  </si>
  <si>
    <t>ΤΕΡΜΑ ΑΝΤΙΓΟΝΗΣ- ΖΑΡΟΥΧΛΕΪΚΑ</t>
  </si>
  <si>
    <t>22ο ΔΗΜΟΤΙΚΟ ΣΧΟΛΕΙΟ ΠΑΤΡΩΝ</t>
  </si>
  <si>
    <t>mail@22dim-patras.ach.sch.gr</t>
  </si>
  <si>
    <t>ΛΕΥΚΑΣ 149</t>
  </si>
  <si>
    <t>1ο ΝΗΠΙΑΓΩΓΕΙΟ ΔΕΜΕΝΙΚΩΝ</t>
  </si>
  <si>
    <t>mail@1nip-demen.ach.sch.gr</t>
  </si>
  <si>
    <t>ΔΕΜΕΝΙΚΩΝ</t>
  </si>
  <si>
    <t>Κ ΒΑΡΝΑΛΗ  ΔΕΜΕΝΙΚΑ 26</t>
  </si>
  <si>
    <t>ΔΗΜΟΤΙΚΟ ΣΧΟΛΕΙΟ ΒΑΣΙΛΙΚΟΥ ΑΧΑΪΑΣ</t>
  </si>
  <si>
    <t>mail@dim-vasil.ach.sch.gr</t>
  </si>
  <si>
    <t>ΕΡΥΜΑΝΘΟΥ</t>
  </si>
  <si>
    <t>ΒΑΣΙΛΙΚΟ</t>
  </si>
  <si>
    <t>ΒΑΣΙΛΙΚΟ ΦΑΡΡΩΝ</t>
  </si>
  <si>
    <t>55ο ΔΗΜΟΤΙΚΟ ΣΧΟΛΕΙΟ ΠΑΤΡΩΝ</t>
  </si>
  <si>
    <t>mail@55dim-patras.ach.sch.gr</t>
  </si>
  <si>
    <t>Άθω 18</t>
  </si>
  <si>
    <t>25ο ΔΗΜΟΤΙΚΟ ΣΧΟΛΕΙΟ ΠΑΤΡΩΝ</t>
  </si>
  <si>
    <t>mail@25dim-patras.ach.sch.gr</t>
  </si>
  <si>
    <t>ΜΑΡΑΓΚΟΠΟΥΛΟΥ 30</t>
  </si>
  <si>
    <t>1ο ΝΗΠΙΑΓΩΓΕΙΟ ΑΙΓΙΟΥ</t>
  </si>
  <si>
    <t>mail@1nip-aigiou.ach.sch.gr</t>
  </si>
  <si>
    <t>ΑΙΓΙΟΥ</t>
  </si>
  <si>
    <t>ΟΘΩΝΟΣ 43</t>
  </si>
  <si>
    <t>2ο ΝΗΠΙΑΓΩΓΕΙΟ ΑΙΓΙΟΥ</t>
  </si>
  <si>
    <t>mail@2nip-aigiou.ach.sch.gr</t>
  </si>
  <si>
    <t>ΚΟΥΤΑΛΗΣ 24, ΑΙΓΙΟ</t>
  </si>
  <si>
    <t>ΔΗΜΟΤΙΚΟ ΣΧΟΛΕΙΟ ΑΚΤΑΙΟΥ</t>
  </si>
  <si>
    <t>mail@dim-aktaiou.ach.sch.gr</t>
  </si>
  <si>
    <t>ΑΚΤΑΙΟ</t>
  </si>
  <si>
    <t>ΑΓΙΑΣ ΒΑΡΒΑΡΑΣ 10</t>
  </si>
  <si>
    <t>3ο ΝΗΠΙΑΓΩΓΕΙΟ ΑΙΓΙΟΥ</t>
  </si>
  <si>
    <t>mail@3nip-aigiou.ach.sch.gr</t>
  </si>
  <si>
    <t>Π. ΧΑΡΑΛΑΜΠΟΥΣ 3</t>
  </si>
  <si>
    <t>5ο ΔΗΜΟΤΙΚΟ ΣΧΟΛΕΙΟ ΑΙΓΙΟΥ "ΓΕΩΡΓΙΑ ΠΑΝΟΥΤΣΟΠΟΥΛΟΥ-ΠΑΠΑΣΗΜΑΚΟΠΟΥΛΟΥ"</t>
  </si>
  <si>
    <t>mail@5dim-aigiou.ach.sch.gr</t>
  </si>
  <si>
    <t>ΑΙΓΙΟ</t>
  </si>
  <si>
    <t>ΠΡΟΠΟΝΤΙΔΟΣ 2</t>
  </si>
  <si>
    <t>6ο ΔΗΜΟΤΙΚΟ ΣΧΟΛΕΙΟ ΠΑΤΡΩΝ</t>
  </si>
  <si>
    <t>mail@6dim-patras.ach.sch.gr</t>
  </si>
  <si>
    <t>ΣΟΛΩΜΟΥ 57</t>
  </si>
  <si>
    <t>54ο ΔΗΜΟΤΙΚΟ ΣΧΟΛΕΙΟ ΠΑΤΡΩΝ</t>
  </si>
  <si>
    <t>mail@54dim-patras.ach.sch.gr</t>
  </si>
  <si>
    <t>4ο ΝΗΠΙΑΓΩΓΕΙΟ ΑΙΓΙΟΥ</t>
  </si>
  <si>
    <t>mail@4nip-aigiou.ach.sch.gr</t>
  </si>
  <si>
    <t>ΔΩΔΩΝΗΣ 3</t>
  </si>
  <si>
    <t>5ο ΝΗΠΙΑΓΩΓΕΙΟ ΑΙΓΙΟΥ</t>
  </si>
  <si>
    <t>mail@5nip-aigiou.ach.sch.gr</t>
  </si>
  <si>
    <t>ΠΑΡΟΔΟΣ ΣΕΛΙΝΟΥΝΤΟΣ</t>
  </si>
  <si>
    <t>10ο ΝΗΠΙΑΓΩΓΕΙΟ ΑΙΓΙΟΥ</t>
  </si>
  <si>
    <t>mail@10nip-aigiou.ach.sch.gr</t>
  </si>
  <si>
    <t>ΣΩΤΗΡΙΟΥ ΛΟΝΤΟΥ 17</t>
  </si>
  <si>
    <t>2ο ΝΗΠΙΑΓΩΓΕΙΟ ΠΑΡΑΛΙΑΣ</t>
  </si>
  <si>
    <t>mail@2nip-paral.ach.sch.gr</t>
  </si>
  <si>
    <t>ΠΑΡΑΛΙΑΣ</t>
  </si>
  <si>
    <t>ΕΙΚΟΣΤΗΣ ΠΕΜΠΤΗΣ ΜΑΡΤΙΟΥ 71A</t>
  </si>
  <si>
    <t>52ο ΝΗΠΙΑΓΩΓΕΙΟ ΠΑΤΡΩΝ</t>
  </si>
  <si>
    <t>mail@52nip-patras.ach.sch.gr</t>
  </si>
  <si>
    <t>ΔΗΜΟΤΙΚΟ ΣΧΟΛΕΙΟ ΡΟΪΤΙΚΩΝ</t>
  </si>
  <si>
    <t>mail@dim-roitik.ach.sch.gr</t>
  </si>
  <si>
    <t>Ροΐτικα</t>
  </si>
  <si>
    <t>Κ. Παπαγιάννη 61</t>
  </si>
  <si>
    <t>15ο ΝΗΠΙΑΓΩΓΕΙΟ ΠΑΤΡΩΝ</t>
  </si>
  <si>
    <t>mail@15nip-patras.ach.sch.gr</t>
  </si>
  <si>
    <t>ΜΑΙΖΩΝΟΣ 26</t>
  </si>
  <si>
    <t>ΝΗΠΙΑΓΩΓΕΙΟ ΚΑΛΑΒΡΥΤΩΝ</t>
  </si>
  <si>
    <t>mail@nip-kalavr.ach.sch.gr</t>
  </si>
  <si>
    <t>ΜΕΓ ΣΠΗΛΑΙΟΥ 13</t>
  </si>
  <si>
    <t>10ο ΔΗΜΟΤΙΚΟ ΣΧΟΛΕΙΟ ΠΑΤΡΩΝ - ΔΙΑΚΙΔΕΙΟ</t>
  </si>
  <si>
    <t>mail@10dim-patras.ach.sch.gr</t>
  </si>
  <si>
    <t>ΚΟΡΙΝΘΟΥ 335</t>
  </si>
  <si>
    <t>35ο ΔΗΜΟΤΙΚΟ ΣΧΟΛΕΙΟ ΠΑΤΡΩΝ</t>
  </si>
  <si>
    <t>mail@35dim-patras.ach.sch.gr</t>
  </si>
  <si>
    <t>ΑΝΘΕΜΙΟΥ 2</t>
  </si>
  <si>
    <t>1ο ΝΗΠΙΑΓΩΓΕΙΟ ΠΑΡΑΛΙΑΣ</t>
  </si>
  <si>
    <t>mail@1nip-paral.ach.sch.gr</t>
  </si>
  <si>
    <t>ΑΚΑΔΑΝΤΑ 1</t>
  </si>
  <si>
    <t>6ο ΔΗΜΟΤΙΚΟ ΣΧΟΛΕΙΟ ΑΙΓΙΟΥ</t>
  </si>
  <si>
    <t>mail@6dim-aigiou.ach.sch.gr</t>
  </si>
  <si>
    <t>ΑΙΓΙΟ ΑΧΑΪΑΣ</t>
  </si>
  <si>
    <t>ΑΓΙΟΣ ΑΘΑΝΑΣΙΟΣ ΑΙΓΙΟΥ</t>
  </si>
  <si>
    <t>5ο ΔΗΜΟΤΙΚΟ ΣΧΟΛΕΙΟ ΠΑΤΡΩΝ</t>
  </si>
  <si>
    <t>mail@5dim-patras.ach.sch.gr</t>
  </si>
  <si>
    <t>Γ. ΟΛΥΜΠΙΟΥ 89</t>
  </si>
  <si>
    <t>18ο ΝΗΠΙΑΓΩΓΕΙΟ ΠΑΤΡΩΝ</t>
  </si>
  <si>
    <t>mail@18nip-patras.ach.sch.gr</t>
  </si>
  <si>
    <t>ΚΥΠΡΟΥ ΚΑΙ ΔΟΪΡΑΝΗΣ 36</t>
  </si>
  <si>
    <t>20ο ΝΗΠΙΑΓΩΓΕΙΟ ΠΑΤΡΩΝ</t>
  </si>
  <si>
    <t>mail@20nip-patras.ach.sch.gr</t>
  </si>
  <si>
    <t>ΑΓΙΟΥ ΚΩΝΣΤΑΝΤΙΝΟΥ 21</t>
  </si>
  <si>
    <t>25ο ΝΗΠΙΑΓΩΓΕΙΟ ΠΑΤΡΩΝ</t>
  </si>
  <si>
    <t>mail@25nip-patras.ach.sch.gr</t>
  </si>
  <si>
    <t>ΠΛΑΤΕΙΑ ΠΑΝΤΟΚΡΑΤΟΡΑ 45</t>
  </si>
  <si>
    <t>26ο ΝΗΠΙΑΓΩΓΕΙΟ ΠΑΤΡΩΝ</t>
  </si>
  <si>
    <t>mail@26nip-patras.ach.sch.gr</t>
  </si>
  <si>
    <t>30ο ΝΗΠΙΑΓΩΓΕΙΟ ΠΑΤΡΩΝ</t>
  </si>
  <si>
    <t>mail@30nip-patras.ach.sch.gr</t>
  </si>
  <si>
    <t>34ο ΝΗΠΙΑΓΩΓΕΙΟ ΠΑΤΡΩΝ</t>
  </si>
  <si>
    <t>mail@34nip-patras.ach.sch.gr</t>
  </si>
  <si>
    <t>ΑΛΦΕΙΟΥ 6- 8</t>
  </si>
  <si>
    <t>41ο ΝΗΠΙΑΓΩΓΕΙΟ ΠΑΤΡΩΝ</t>
  </si>
  <si>
    <t>mail@41nip-patras.ach.sch.gr</t>
  </si>
  <si>
    <t>ΡΑΓΚΑΒΗ 18</t>
  </si>
  <si>
    <t>43ο ΝΗΠΙΑΓΩΓΕΙΟ ΠΑΤΡΩΝ</t>
  </si>
  <si>
    <t>mail@43nip-patras.ach.sch.gr</t>
  </si>
  <si>
    <t>ΑΡΕΘΑ  128</t>
  </si>
  <si>
    <t>49ο ΝΗΠΙΑΓΩΓΕΙΟ ΠΑΤΡΩΝ</t>
  </si>
  <si>
    <t>mail@49nip-patras.ach.sch.gr</t>
  </si>
  <si>
    <t>ΑΡΗΤΗΣ 1</t>
  </si>
  <si>
    <t>53ο ΝΗΠΙΑΓΩΓΕΙΟ ΠΑΤΡΩΝ</t>
  </si>
  <si>
    <t>mail@53nip-patras.ach.sch.gr</t>
  </si>
  <si>
    <t>ΑΜΕΡΙΚΗΣ 8</t>
  </si>
  <si>
    <t>14ο ΔΗΜΟΤΙΚΟ ΣΧΟΛΕΙΟ ΠΑΤΡΩΝ</t>
  </si>
  <si>
    <t>mail@14dim-patras.ach.sch.gr</t>
  </si>
  <si>
    <t>ΑΚΤΗ ΔΥΜΑΙΩΝ 51</t>
  </si>
  <si>
    <t>28ο ΝΗΠΙΑΓΩΓΕΙΟ ΠΑΤΡΩΝ</t>
  </si>
  <si>
    <t>mail@28nip-patras.ach.sch.gr</t>
  </si>
  <si>
    <t>ΠΑΡΟΔ.ΑΡΙΣΤΟΤΕΛΟΥΣ</t>
  </si>
  <si>
    <t>3ο ΔΗΜΟΤΙΚΟ ΣΧΟΛΕΙΟ ΠΑΤΡΩΝ</t>
  </si>
  <si>
    <t>mail@3dim-patras.ach.sch.gr</t>
  </si>
  <si>
    <t>2ο ΝΗΠΙΑΓΩΓΕΙΟ ΡΙΟΥ</t>
  </si>
  <si>
    <t>mail@2nip-riou.ach.sch.gr</t>
  </si>
  <si>
    <t>ΡΙΟΥ</t>
  </si>
  <si>
    <t>ΛΕΩΝΙΔΑ ΠΕΤΜΕΖΑ ΚΑΙ ΟΜΗΡΟΥ</t>
  </si>
  <si>
    <t>ΝΗΠΙΑΓΩΓΕΙΟ ΣΑΓΑΙΙΚΩΝ</t>
  </si>
  <si>
    <t>mail@nip-sageik.ach.sch.gr</t>
  </si>
  <si>
    <t>ΣΑΓΑΙΙΚΩΝ</t>
  </si>
  <si>
    <t>ΣΑΓΑΙΙΚΑ</t>
  </si>
  <si>
    <t>50ο ΝΗΠΙΑΓΩΓΕΙΟ ΠΑΤΡΩΝ</t>
  </si>
  <si>
    <t>mail@50nip-patras.ach.sch.gr</t>
  </si>
  <si>
    <t>70ο ΝΗΠΙΑΓΩΓΕΙΟ ΠΑΤΡΩΝ</t>
  </si>
  <si>
    <t>mail@70nip-patras.ach.sch.gr</t>
  </si>
  <si>
    <t>ΠΑΝΑΧΑΪΚΟΥ ΤΕΡΜΑ</t>
  </si>
  <si>
    <t>2ο ΝΗΠΙΑΓΩΓΕΙΟ ΟΒΡΥΑΣ</t>
  </si>
  <si>
    <t>mail@2nip-ovryas.ach.sch.gr</t>
  </si>
  <si>
    <t>ΟΒΡΥΑΣ</t>
  </si>
  <si>
    <t>ΕΛΕΥΘ ΒΕΝΙΖΕΛΟΥ ΟΒΡΥΑ 1-3</t>
  </si>
  <si>
    <t>7ο ΝΗΠΙΑΓΩΓΕΙΟ ΠΑΤΡΩΝ - ΓΕΩΡΓΑΚΗΣ ΟΛΥΜΠΙΟΣ</t>
  </si>
  <si>
    <t>mail@7nip-patras.ach.sch.gr</t>
  </si>
  <si>
    <t>ΠΑΝΑΧΑΪΚΟΥ 39</t>
  </si>
  <si>
    <t>62ο ΝΗΠΙΑΓΩΓΕΙΟ ΠΑΤΡΩΝ</t>
  </si>
  <si>
    <t>mail@62nip-patras.ach.sch.gr</t>
  </si>
  <si>
    <t>ΠΑΡΜΕΝΙΔΟΥ 12</t>
  </si>
  <si>
    <t>2ο ΝΗΠΙΑΓΩΓΕΙΟ ΠΑΤΡΩΝ</t>
  </si>
  <si>
    <t>mail@2nip-patras.ach.sch.gr</t>
  </si>
  <si>
    <t>ΤΕΡΜΑ ΠΟΝΤΟΥ</t>
  </si>
  <si>
    <t>ΝΗΠΙΑΓΩΓΕΙΟ ΡΟΪΤΙΚΩΝ</t>
  </si>
  <si>
    <t>mail@nip-roitik.ach.sch.gr</t>
  </si>
  <si>
    <t>ΡΟΪΤΙΚΩΝ</t>
  </si>
  <si>
    <t>ΡΟΪΤΙΚΑ</t>
  </si>
  <si>
    <t>1ο ΝΗΠΙΑΓΩΓΕΙΟ ΟΒΡΥΑΣ</t>
  </si>
  <si>
    <t>mail@1nip-ovryas.ach.sch.gr</t>
  </si>
  <si>
    <t>Ν.ΝΤΕΒΕ 35</t>
  </si>
  <si>
    <t>11ο ΔΗΜΟΤΙΚΟ ΣΧΟΛΕΙΟ ΠΑΤΡΩΝ "ΠΑΝΑΓΙΩΤΗΣ ΚΑΝΕΛΛΟΠΟΥΛΟΣ"</t>
  </si>
  <si>
    <t>mail@11dim-patras.ach.sch.gr</t>
  </si>
  <si>
    <t>ΡΗΓΑ ΦΕΡΑΙΟΥ ΚΑΙ ΣΑΤΩΒΡΙΑΝΔΟΥ</t>
  </si>
  <si>
    <t>3ο ΝΗΠΙΑΓΩΓΕΙΟ ΠΑΡΑΛΙΑΣ</t>
  </si>
  <si>
    <t>mail@3nip-paral.ach.sch.gr</t>
  </si>
  <si>
    <t>Aθανασίου Αναγνωστόπουλου Εργατικές Kατοικίες  ΠΑΡΑΛΙΑ ΠΑΤΡΩΝ</t>
  </si>
  <si>
    <t>58ο ΝΗΠΙΑΓΩΓΕΙΟ ΠΑΤΡΩΝ</t>
  </si>
  <si>
    <t>mail@58nip-patras.ach.sch.gr</t>
  </si>
  <si>
    <t>ΘΟΥΚΥΔΙΔΟΥ Κ ΠΕΡΣΕΦΟΝΗΣ</t>
  </si>
  <si>
    <t>ΔΗΜΟΤΙΚΟ ΣΧΟΛΕΙΟ ΔΕΜΕΝΙΚΩΝ</t>
  </si>
  <si>
    <t>mail@dim-demen.ach.sch.gr</t>
  </si>
  <si>
    <t>ΔΕΜΕΝΙΚΑ</t>
  </si>
  <si>
    <t>ΖΑΛΟΓΓΟΥ 21</t>
  </si>
  <si>
    <t>32ο ΝΗΠΙΑΓΩΓΕΙΟ ΠΑΤΡΩΝ</t>
  </si>
  <si>
    <t>mail@32nip-patras.ach.sch.gr</t>
  </si>
  <si>
    <t>ΑΘΩ 18</t>
  </si>
  <si>
    <t>24ο ΝΗΠΙΑΓΩΓΕΙΟ ΠΑΤΡΩΝ</t>
  </si>
  <si>
    <t>mail@24nip-patras.ach.sch.gr</t>
  </si>
  <si>
    <t>ΚΡΕΣΤΕΝΩΝ 14</t>
  </si>
  <si>
    <t>ΝΗΠΙΑΓΩΓΕΙΟ ΚΑΤΩ ΚΑΣΤΡΙΤΣΙΟΥ</t>
  </si>
  <si>
    <t>mail@nip-ka-kastr.ach.sch.gr</t>
  </si>
  <si>
    <t>ΚΑΤΩ ΚΑΣΤΡΙΤΣΙ</t>
  </si>
  <si>
    <t>ΚΥΠΡΟΥ</t>
  </si>
  <si>
    <t>59ο ΝΗΠΙΑΓΩΓΕΙΟ ΠΑΤΡΩΝ</t>
  </si>
  <si>
    <t>mail@59nip-patras.ach.sch.gr</t>
  </si>
  <si>
    <t>ΙΩΑΝΝΗ ΒΙΤΣΑΡΗ 6</t>
  </si>
  <si>
    <t>4ο ΝΗΠΙΑΓΩΓΕΙΟ ΠΑΤΡΩΝ</t>
  </si>
  <si>
    <t>mail@4nip-patras.ach.sch.gr</t>
  </si>
  <si>
    <t>19ο ΝΗΠΙΑΓΩΓΕΙΟ ΠΑΤΡΩΝ</t>
  </si>
  <si>
    <t>mail@19nip-patras.ach.sch.gr</t>
  </si>
  <si>
    <t>ΑΧΑΪΚΗΣ ΣΥΜΠΟΛΙΤΕΙΑΣ 42</t>
  </si>
  <si>
    <t>73ο ΝΗΠΙΑΓΩΓΕΙΟ ΠΑΤΡΩΝ</t>
  </si>
  <si>
    <t>mail@73nip-patras.ach.sch.gr</t>
  </si>
  <si>
    <t>Γ ΘΕΟΧΑΡΗ ΖΑΡΟΥΧΛΕΪΚΑ 2</t>
  </si>
  <si>
    <t>45ο ΝΗΠΙΑΓΩΓΕΙΟ ΠΑΤΡΩΝ</t>
  </si>
  <si>
    <t>mail@45nip-patras.ach.sch.gr</t>
  </si>
  <si>
    <t>ΠΡΕΣΠΑΣ 17</t>
  </si>
  <si>
    <t>1ο ΝΗΠΙΑΓΩΓΕΙΟ ΠΑΤΡΩΝ</t>
  </si>
  <si>
    <t>mail@1nip-patras.ach.sch.gr</t>
  </si>
  <si>
    <t>ΑΓΙΑΣ ΤΡΙΑΔΟΣ 70</t>
  </si>
  <si>
    <t>44ο ΝΗΠΙΑΓΩΓΕΙΟ ΠΑΤΡΩΝ</t>
  </si>
  <si>
    <t>mail@44nip-patras.ach.sch.gr</t>
  </si>
  <si>
    <t>4ο ΝΗΠΙΑΓΩΓΕΙΟ ΠΑΡΑΛΙΑΣ ΠΑΤΡΩΝ</t>
  </si>
  <si>
    <t>mail@4nip-paral.ach.sch.gr</t>
  </si>
  <si>
    <t>ΙΩΑΝΝΙΝΩΝ-ΑΝΑΠΑΥΣΕΩΣ</t>
  </si>
  <si>
    <t>42ο ΝΗΠΙΑΓΩΓΕΙΟ ΠΑΤΡΩΝ</t>
  </si>
  <si>
    <t>mail@42nip-patras.ach.sch.gr</t>
  </si>
  <si>
    <t>ΤΕΡΜΑ ΑΝΤΙΓΟΝΗΣ ΖΑΡΟΥΧΛΕΪΚΑ</t>
  </si>
  <si>
    <t>3ο ΝΗΠΙΑΓΩΓΕΙΟ ΠΑΤΡΩΝ</t>
  </si>
  <si>
    <t>mail@3nip-patras.ach.sch.gr</t>
  </si>
  <si>
    <t>Δ. ΥΨΗΛΑΝΤΟΥ 34Α</t>
  </si>
  <si>
    <t>2ο ΔΗΜΟΤΙΚΟ ΣΧΟΛΕΙΟ ΟΒΡΥΑΣ</t>
  </si>
  <si>
    <t>mail@2dim-ovryas.ach.sch.gr</t>
  </si>
  <si>
    <t>ΟΒΡΥΑ</t>
  </si>
  <si>
    <t>ΕΛ ΒΕΝΙΖΕΛΟΥ 1-3</t>
  </si>
  <si>
    <t>12ο ΔΗΜΟΤΙΚΟ ΣΧΟΛΕΙΟ ΠΑΤΡΩΝ</t>
  </si>
  <si>
    <t>mail@12dim-patras.ach.sch.gr</t>
  </si>
  <si>
    <t>ΠΑΡΜΕΝΙΔΟΥ  12 (Προσωρινή μεταστέγαση από Γεωργίου Ολυμπίου &amp; Σουλίου)</t>
  </si>
  <si>
    <t>15ο ΔΗΜΟΤΙΚΟ ΣΧΟΛΕΙΟ ΠΑΤΡΩΝ</t>
  </si>
  <si>
    <t>mail@15dim-patras.ach.sch.gr</t>
  </si>
  <si>
    <t>ΚΑΛΑΒΡΥΤΩΝ ΚΑΙ ΠΟΝΤΟΥ</t>
  </si>
  <si>
    <t>42ο ΔΗΜΟΤΙΚΟ ΣΧΟΛΕΙΟ ΠΑΤΡΩΝ</t>
  </si>
  <si>
    <t>mail@42dim-patras.ach.sch.gr</t>
  </si>
  <si>
    <t>ΣΤΡΟΦΑΔΩΝ ΚΑΙ ΡΟΒΕΡΤΟΥ ΚΩΧ 3</t>
  </si>
  <si>
    <t>ΝΗΠΙΑΓΩΓΕΙΟ ΛΑΠΠΑ</t>
  </si>
  <si>
    <t>mail@nip-lappa.ach.sch.gr</t>
  </si>
  <si>
    <t>ΛΑΠΠΑ</t>
  </si>
  <si>
    <t>1ο ΝΗΠΙΑΓΩΓΕΙΟ ΚΑΤΩ ΑΧΑΪΑΣ</t>
  </si>
  <si>
    <t>mail@1nip-k-achaias.ach.sch.gr</t>
  </si>
  <si>
    <t>ΤΕΡΜΑ ΔΕΞΑΜΕΝΟΥ</t>
  </si>
  <si>
    <t>1ο ΝΗΠΙΑΓΩΓΕΙΟ ΒΡΑΧΝΑΙΙΚΩΝ</t>
  </si>
  <si>
    <t>mail@nip-vrachn.ach.sch.gr</t>
  </si>
  <si>
    <t>ΒΡΑΧΝΑΙΙΚΩΝ</t>
  </si>
  <si>
    <t>ΣΤΑΜΑΤΗ ΠΑΠΑΔΟΠΟΥΛΟΥ 9</t>
  </si>
  <si>
    <t>68ο ΝΗΠΙΑΓΩΓΕΙΟ ΠΑΤΡΩΝ</t>
  </si>
  <si>
    <t>mail@68nip-patras.ach.sch.gr</t>
  </si>
  <si>
    <t>ΑΝΘΕΜΙΟΥ 3 , A-ΤΜΗΜΑ   &amp;   ΑΝΘΕΜΙΟΥ11 , B - ΤΜΗΜΑ</t>
  </si>
  <si>
    <t>ΔΗΜΟΤΙΚΟ ΣΧΟΛΕΙΟ ΑΒΥΘΟΥ</t>
  </si>
  <si>
    <t>mail@dim-avyth.ach.sch.gr</t>
  </si>
  <si>
    <t>ΑΒΥΘΟΣ</t>
  </si>
  <si>
    <t>ΤΑΞΙΑΡΧΩΝ 2  ΑΒΥΘΟΣ  ΣΥΜΠΟΛΙΤΕΙΑΣ</t>
  </si>
  <si>
    <t>ΔΗΜΟΤΙΚΟ ΣΧΟΛΕΙΟ ΑΙΓΕΙΡΑΣ</t>
  </si>
  <si>
    <t>mail@dim-aigeir.ach.sch.gr</t>
  </si>
  <si>
    <t>ΑΙΓΕΙΡΑ</t>
  </si>
  <si>
    <t>ΑΙΓΕΙΡΑ ΑΧΑΪΑΣ</t>
  </si>
  <si>
    <t>47ο ΝΗΠΙΑΓΩΓΕΙΟ ΠΑΤΡΩΝ</t>
  </si>
  <si>
    <t>mail@47nip-patras.ach.sch.gr</t>
  </si>
  <si>
    <t>ΑΝΘΕΜΙΟΥ 4</t>
  </si>
  <si>
    <t>1ο ΝΗΠΙΑΓΩΓΕΙΟ ΡΙΟΥ</t>
  </si>
  <si>
    <t>mail@1nip-riou.ach.sch.gr</t>
  </si>
  <si>
    <t>ΣΩΜΕΡΣΕΤ ΚΑΙ ΖΩΓΡΑΦΟΥ 125</t>
  </si>
  <si>
    <t>1ο ΔΗΜΟΤΙΚΟ ΣΧΟΛΕΙΟ ΑΙΓΙΟΥ</t>
  </si>
  <si>
    <t>mail@1dim-aigiou.ach.sch.gr</t>
  </si>
  <si>
    <t>ΚΟΛΟΚΟΤΡΩΝΗ 23</t>
  </si>
  <si>
    <t>ΔΗΜΟΤΙΚΟ ΣΧΟΛΕΙΟ ΚΑΜΑΡΩΝ ΑΙΓΙΑΛΕΙΑΣ</t>
  </si>
  <si>
    <t>mail@dim-kamar.ach.sch.gr</t>
  </si>
  <si>
    <t>ΔΗΜΟΤΙΚΟ ΣΧΟΛΕΙΟ ΤΕΜΕΝΗΣ</t>
  </si>
  <si>
    <t>mail@dim-temen.ach.sch.gr</t>
  </si>
  <si>
    <t>Τέμενη,</t>
  </si>
  <si>
    <t>ΟΛΟΗΜΕΡΟ ΔΗΜΟΤΙΚΟ ΣΧΟΛΕΙΟ ΚΟΥΛΟΥΡΑΣ ΑΙΓΙΑΛΕΙΑΣ</t>
  </si>
  <si>
    <t>mail@dim-koulour.ach.sch.gr</t>
  </si>
  <si>
    <t>ΚΟΥΛΟΥΡΑ ΑΙΓΙΟΥ</t>
  </si>
  <si>
    <t>ΜΟΝΗΣ ΤΑΞΙΑΡΧΩΝ 62</t>
  </si>
  <si>
    <t>2ο ΔΗΜΟΤΙΚΟ ΣΧΟΛΕΙΟ ΑΚΡΑΤΑΣ</t>
  </si>
  <si>
    <t>mail@2dim-akrat.ach.sch.gr</t>
  </si>
  <si>
    <t>ΑΚΡΑΤΑ</t>
  </si>
  <si>
    <t>ΑΙΓΑΙΟΥ 14</t>
  </si>
  <si>
    <t>1ο ΔΗΜΟΤΙΚΟ ΣΧΟΛΕΙΟ ΑΚΡΑΤΑΣ</t>
  </si>
  <si>
    <t>mail@1dim-akrat.ach.sch.gr</t>
  </si>
  <si>
    <t>ΑΚΡΑΤΑ ΑΙΓΙΑΛΕΙΑΣ</t>
  </si>
  <si>
    <t>3ο ΔΗΜΟΤΙΚΟ ΣΧΟΛΕΙΟ ΑΙΓΙΟΥ</t>
  </si>
  <si>
    <t>mail@3dim-aigiou.ach.sch.gr</t>
  </si>
  <si>
    <t>Αίγιο</t>
  </si>
  <si>
    <t>ΑΓΙΟΥ ΛΕΟΝΤΙΟΥ 28</t>
  </si>
  <si>
    <t>13ο ΔΗΜΟΤΙΚΟ ΣΧΟΛΕΙΟ ΠΑΤΡΩΝ</t>
  </si>
  <si>
    <t>mail@13dim-patras.ach.sch.gr</t>
  </si>
  <si>
    <t>ΑΓ ΤΡΙΑΔΑΣ 70</t>
  </si>
  <si>
    <t>2ο ΔΗΜΟΤΙΚΟ ΣΧΟΛΕΙΟ ΑΙΓΙΟΥ</t>
  </si>
  <si>
    <t>mail@2dim-aigiou.ach.sch.gr</t>
  </si>
  <si>
    <t>ΡΩΜΑΝΙΩΛΗ 43</t>
  </si>
  <si>
    <t>48ο ΝΗΠΙΑΓΩΓΕΙΟ ΠΑΤΡΩΝ</t>
  </si>
  <si>
    <t>mail@48nip-patras.ach.sch.gr</t>
  </si>
  <si>
    <t>2ο ΝΗΠΙΑΓΩΓΕΙΟ ΔΕΜΕΝΙΚΩΝ</t>
  </si>
  <si>
    <t>mail@2nip-demen.ach.sch.gr</t>
  </si>
  <si>
    <t>ΚΡΕΣΤΑΙΝΩΝ  ΔΕΜΕΝΙΚΩΝ 59</t>
  </si>
  <si>
    <t>ΝΗΠΙΑΓΩΓΕΙΟ ΣΑΡΑΒΑΛΙΟΥ</t>
  </si>
  <si>
    <t>mail@nip-sarav.ach.sch.gr</t>
  </si>
  <si>
    <t>ΣΑΡΑΒΑΛΙΟΥ</t>
  </si>
  <si>
    <t>Κεφαλοβρύσου 1</t>
  </si>
  <si>
    <t>8ο ΔΗΜΟΤΙΚΟ ΣΧΟΛΕΙΟ ΠΑΤΡΑΣ - ΓΕΩΡΓΙΟΣ ΓΛΑΡΑΚΗΣ</t>
  </si>
  <si>
    <t>mail@8dim-patras.ach.sch.gr</t>
  </si>
  <si>
    <t>Π.Π. ΓΕΡΜΑΝΟΥ 186</t>
  </si>
  <si>
    <t>23ο ΔΗΜΟΤΙΚΟ ΣΧΟΛΕΙΟ ΠΑΤΡΩΝ</t>
  </si>
  <si>
    <t>mail@23dim-patras.ach.sch.gr</t>
  </si>
  <si>
    <t>ΠΑΝΕΠΙΣΤΗΜΙΟΥ 67</t>
  </si>
  <si>
    <t>ΔΗΜΟΤΙΚΟ ΣΧΟΛΕΙΟ ΑΝΩ ΑΛΙΣΣΟΥ</t>
  </si>
  <si>
    <t>mail@dim-an-aliss.ach.sch.gr</t>
  </si>
  <si>
    <t>Άνω Αλισσός</t>
  </si>
  <si>
    <t>9ο ΔΗΜΟΤΙΚΟ ΣΧΟΛΕΙΟ ΑΙΓΙΟΥ</t>
  </si>
  <si>
    <t>mail@9dim-aigiou.ach.sch.gr</t>
  </si>
  <si>
    <t>10ο ΔΗΜΟΤΙΚΟ ΣΧΟΛΕΙΟ ΑΙΓΙΟΥ</t>
  </si>
  <si>
    <t>mail@10dim-aigiou.ach.sch.gr</t>
  </si>
  <si>
    <t>ΔΗΜΟΤΙΚΟ ΣΧΟΛΕΙΟ ΚΡΗΝΗΣ ΠΑΤΡΩΝ</t>
  </si>
  <si>
    <t>mail@dim-krinis.ach.sch.gr</t>
  </si>
  <si>
    <t>Κρήνη</t>
  </si>
  <si>
    <t>75ο ΝΗΠΙΑΓΩΓΕΙΟ ΠΑΤΡΩΝ</t>
  </si>
  <si>
    <t>mail@75nip-patras.ach.sch.gr</t>
  </si>
  <si>
    <t>ΑΘΗΝΩΝ 266</t>
  </si>
  <si>
    <t>ΔΗΜΟΤΙΚΟ ΣΧΟΛΕΙΟ ΕΛΙΚΗΣ</t>
  </si>
  <si>
    <t>mail@dim-elikis.ach.sch.gr</t>
  </si>
  <si>
    <t>ΕΛΙΚΗ</t>
  </si>
  <si>
    <t>ΠΕΟ ΠΑΤΡΩΝ-ΚΟΡΙΝΘΟΥ ΕΛΙΚΗ</t>
  </si>
  <si>
    <t>ΔΗΜΟΤΙΚΟ ΣΧΟΛΕΙΟ ΔΙΑΚΟΠΤΟΥ</t>
  </si>
  <si>
    <t>mail@dim-diakopt.ach.sch.gr</t>
  </si>
  <si>
    <t>ΔΗΜΟΤΙΚΟ ΣΧΟΛΕΙΟ ΛΟΥΣΙΚΩΝ</t>
  </si>
  <si>
    <t>mail@dim-lousik.ach.sch.gr</t>
  </si>
  <si>
    <t>ΛΟΥΣΙΚΑ</t>
  </si>
  <si>
    <t>32ο ΔΗΜΟΤΙΚΟ ΣΧΟΛΕΙΟ ΠΑΤΡΩΝ</t>
  </si>
  <si>
    <t>mail@32dim-patras.ach.sch.gr</t>
  </si>
  <si>
    <t>ΣΑΜΟΘΡΑΚΗΣ ΚΑΙ ΣΚΙΑΘΟΥ</t>
  </si>
  <si>
    <t>33ο ΔΗΜΟΤΙΚΟ ΣΧΟΛΕΙΟ ΠΑΤΡΩΝ</t>
  </si>
  <si>
    <t>mail@33dim-patras.ach.sch.gr</t>
  </si>
  <si>
    <t>ΑΚΡΩΤΗΡΙΟΥ 83</t>
  </si>
  <si>
    <t>39ο ΔΗΜΟΤΙΚΟ ΣΧΟΛΕΙΟ ΠΑΤΡΩΝ</t>
  </si>
  <si>
    <t>mail@39dim-patras.ach.sch.gr</t>
  </si>
  <si>
    <t>ΝΕΟ ΣΟΥΛΙ ΠΑΤΡΩΝ</t>
  </si>
  <si>
    <t>65ο ΔΗΜΟΤΙΚΟ ΣΧΟΛΕΙΟ ΠΑΤΡΩΝ</t>
  </si>
  <si>
    <t>mail@65dim-patras.ach.sch.gr</t>
  </si>
  <si>
    <t>19ο ΔΗΜΟΤΙΚΟ ΣΧΟΛΕΙΟ ΠΑΤΡΩΝ</t>
  </si>
  <si>
    <t>mail@19dim-patras.ach.sch.gr</t>
  </si>
  <si>
    <t>3ο ΔΗΜΟΤΙΚΟ ΣΧΟΛΕΙΟ ΚΑΤΩ ΑΧΑΪΑΣ</t>
  </si>
  <si>
    <t>mail@3dim-k-achaias.ach.sch.gr</t>
  </si>
  <si>
    <t>ΤΕΡΜΑ 25ης Μαρτίου</t>
  </si>
  <si>
    <t>1ο ΔΗΜΟΤΙΚΟ ΣΧΟΛΕΙΟ ΠΑΤΡΩΝ</t>
  </si>
  <si>
    <t>mail@1dim-patras.ach.sch.gr</t>
  </si>
  <si>
    <t>ΟΣΣΗΣ 2-4</t>
  </si>
  <si>
    <t>24ο ΔΗΜΟΤΙΚΟ ΣΧΟΛΕΙΟ ΠΑΤΡΩΝ</t>
  </si>
  <si>
    <t>mail@24dim-patras.ach.sch.gr</t>
  </si>
  <si>
    <t>ΑΝΘΕΙΑΣ 195</t>
  </si>
  <si>
    <t>2ο ΔΗΜΟΤΙΚΟ ΣΧΟΛΕΙΟ ΠΑΤΡΩΝ - ΣΤΡΟΥΜΠΕΙΟ</t>
  </si>
  <si>
    <t>mail@2dim-patron.ach.sch.gr</t>
  </si>
  <si>
    <t>ΔΗΜΟΤΙΚΟ ΣΧΟΛΕΙΟ ΚΑΡΕΪΚΩΝ</t>
  </si>
  <si>
    <t>mail@dim-kareik.ach.sch.gr</t>
  </si>
  <si>
    <t>ΚΑΡΕΪΚΑ</t>
  </si>
  <si>
    <t>7ο ΔΗΜΟΤΙΚΟ ΣΧΟΛΕΙΟ ΑΙΓΙΟΥ</t>
  </si>
  <si>
    <t>mail@7dim-aigiou.ach.sch.gr</t>
  </si>
  <si>
    <t>ΣΤΑΦΙΔΑΛΩΝΑ-ΡΟΔΩΝ 13</t>
  </si>
  <si>
    <t>ΔΗΜΟΤΙΚΟ ΣΧΟΛΕΙΟ ΚΑΜΙΝΙΩΝ</t>
  </si>
  <si>
    <t>mail@dim-kamin.ach.sch.gr</t>
  </si>
  <si>
    <t>ΚΑΜΙΝΙA</t>
  </si>
  <si>
    <t>ΠΑΤΡΩΝ ΠΥΡΓΟΥ 601</t>
  </si>
  <si>
    <t>ΔΗΜΟΤΙΚΟ ΣΧΟΛΕΙΟ ΚΑΤΩ ΚΑΣΤΡΙΤΣΙΟΥ</t>
  </si>
  <si>
    <t>mail@dim-k-kastr.ach.sch.gr</t>
  </si>
  <si>
    <t>ΠΑΝΕΠΙΣΤΗΜΙΟΥΠΟΛΗ ΠΑΤΡΩΝ</t>
  </si>
  <si>
    <t>51ο ΔΗΜΟΤΙΚΟ ΣΧΟΛΕΙΟ ΠΑΤΡΩΝ</t>
  </si>
  <si>
    <t>mail@51dim-patras.ach.sch.gr</t>
  </si>
  <si>
    <t>ΚΡΕΣΤΕΝΩΝ 10</t>
  </si>
  <si>
    <t>ΔΗΜΟΤΙΚΟ ΣΧΟΛΕΙΟ ΨΩΦΙΔΑΣ</t>
  </si>
  <si>
    <t>mail@dim-psofid.ach.sch.gr</t>
  </si>
  <si>
    <t>ΨΩΦΙΔΑ</t>
  </si>
  <si>
    <t>7ο ΔΗΜΟΤΙΚΟ ΣΧΟΛΕΙΟ ΠΑΤΡΑΣ</t>
  </si>
  <si>
    <t>mail@7dim-patras.ach.sch.gr</t>
  </si>
  <si>
    <t>ΠΛΑΤΕΙΑ ΑΝΔΡΟΥΤΣΟΥ 97</t>
  </si>
  <si>
    <t>4ο ΔΗΜΟΤΙΚΟ ΣΧΟΛΕΙΟ ΠΑΤΡΩΝ</t>
  </si>
  <si>
    <t>mail@4dim-patras.ach.sch.gr</t>
  </si>
  <si>
    <t>ΓΕΩΡΓΙΟΥ ΡΟΥΦΟΥ 62</t>
  </si>
  <si>
    <t>16ο ΔΗΜΟΤΙΚΟ ΣΧΟΛΕΙΟ ΠΑΤΡΩΝ - ΚΩΣΤΗΣ ΠΑΛΑΜΑΣ</t>
  </si>
  <si>
    <t>mail@16dim-patras.ach.sch.gr</t>
  </si>
  <si>
    <t>ΚΩΣΤΗ ΠΑΛΑΜΑ 95</t>
  </si>
  <si>
    <t>20ο ΔΗΜΟΤΙΚΟ ΣΧΟΛΕΙΟ ΠΑΤΡΩΝ</t>
  </si>
  <si>
    <t>mail@20dim-patras.ach.sch.gr</t>
  </si>
  <si>
    <t>ΝΑΥΠΑΚΤΟΥ 29</t>
  </si>
  <si>
    <t>ΜΑΡΑΓΚΟΠΟΥΛΕΙΟ ΔΗΜΟΤΙΚΟ ΣΧΟΛΕΙΟ ΒΡΑΧΝΑΙΙΚΩΝ</t>
  </si>
  <si>
    <t>mail@dim-vrachn.ach.sch.gr</t>
  </si>
  <si>
    <t>ΒΡΑΧΝΑΙΙΚΑ</t>
  </si>
  <si>
    <t>Π.Ε.Ο. ΠΑΤΡΩΝ ΠΥΡΓΟΥ 164</t>
  </si>
  <si>
    <t>34ο ΔΗΜΟΤΙΚΟ ΣΧΟΛΕΙΟ ΠΑΤΡΩΝ</t>
  </si>
  <si>
    <t>mail@34dim-patron.ach.sch.gr</t>
  </si>
  <si>
    <t>ΠΑΝΕΠΙΣΤΗΜΙΟΥ ΚΑΙ ΑΛΕΞΑΝΔΡΟΥΠΟΛΕΩΣ</t>
  </si>
  <si>
    <t>40ο ΔΗΜΟΤΙΚΟ ΣΧΟΛΕΙΟ ΠΑΤΡΩΝ</t>
  </si>
  <si>
    <t>mail@40dim-patras.ach.sch.gr</t>
  </si>
  <si>
    <t>Θεοφράστου 49</t>
  </si>
  <si>
    <t>56ο ΔΗΜΟΤΙΚΟ ΣΧΟΛΕΙΟ ΠΑΤΡΑΣ</t>
  </si>
  <si>
    <t>mail@56dim-patras.ach.sch.gr</t>
  </si>
  <si>
    <t>Δοϊράνης 36 &amp; Κύπρου - Πάτρα</t>
  </si>
  <si>
    <t>64ο ΔΗΜΟΤΙΚΟ ΣΧΟΛΕΙΟ ΠΑΤΡΩΝ</t>
  </si>
  <si>
    <t>mail@64dim-patras.ach.sch.gr</t>
  </si>
  <si>
    <t>ΔΗΜΟΤΙΚΟ ΣΧΟΛΕΙΟ ΧΑΛΑΝΔΡΙΤΣΑΣ</t>
  </si>
  <si>
    <t>mail@dim-chalandr.ach.sch.gr</t>
  </si>
  <si>
    <t>Δήμου  Ερυμάνθου</t>
  </si>
  <si>
    <t>Χαλανδρίτσα</t>
  </si>
  <si>
    <t>43ο ΔΗΜΟΤΙΚΟ ΣΧΟΛΕΙΟ ΠΑΤΡΩΝ</t>
  </si>
  <si>
    <t>mail@43dim-patras.ach.sch.gr</t>
  </si>
  <si>
    <t>ΑΡΕΘΑ 180</t>
  </si>
  <si>
    <t>50ο ΔΗΜΟΤΙΚΟ ΣΧΟΛΕΙΟ ΠΑΤΡΩΝ - 9060249</t>
  </si>
  <si>
    <t>mail@50dim-patron.ach.sch.gr</t>
  </si>
  <si>
    <t>ΡΑΓΚΑΒΗ ΚΑΙ ΜΩΡΑΪΤΙΝΗ 18</t>
  </si>
  <si>
    <t>ΔΗΜΟΤΙΚΟ ΣΧΟΛΕΙΟ ΛΑΠΠΑ</t>
  </si>
  <si>
    <t>mail@dim-lappa.ach.sch.gr</t>
  </si>
  <si>
    <t>ΠΕΟ ΠΑΤΡΩΝ ΠΥΡΓΟΥ</t>
  </si>
  <si>
    <t>8/ΘΕΣΙΟ ΠΕΙΡΑΜΑΤΙΚΟ ΔΗΜΟΤΙΚΟ ΣΧΟΛΕΙΟ ΠΑΝΕΠΙΣΤΗΜΙΟΥ ΠΑΤΡΑΣ</t>
  </si>
  <si>
    <t>mail@dim-aei-patras.ach.sch.gr</t>
  </si>
  <si>
    <t>Πανεπιστημιούπολη Πατρών</t>
  </si>
  <si>
    <t>ΠΑΝΕΠΙΣΤΗΜΙΟ ΠΑΤΡΩΝ ΟΔΟΣ ΔΙΑΓΟΡΑ</t>
  </si>
  <si>
    <t>2ο ΔΗΜΟΤΙΚΟ ΣΧΟΛΕΙΟ ΚΑΤΩ ΑΧΑΪΑΣ</t>
  </si>
  <si>
    <t>mail@2dim-k-achaias.ach.sch.gr</t>
  </si>
  <si>
    <t>Κάτω Αχαΐα</t>
  </si>
  <si>
    <t>ΑΓΙΑΣ ΤΡΙΑΔΟΣ 25</t>
  </si>
  <si>
    <t>59ο ΔΗΜΟΤΙΚΟ ΣΧΟΛΕΙΟ ΠΑΤΡΩΝ</t>
  </si>
  <si>
    <t>mail@59dim-patras.ach.sch.gr</t>
  </si>
  <si>
    <t>Σκιόεσσα Πατρών</t>
  </si>
  <si>
    <t>Αγίου Δημητρίου Σκιόεσσας 303</t>
  </si>
  <si>
    <t>1ο ΔΗΜΟΤΙΚΟ ΣΧΟΛΕΙΟ ΠΑΡΑΛΙΑΣ</t>
  </si>
  <si>
    <t>mail@1dim-paral.ach.sch.gr</t>
  </si>
  <si>
    <t>62ο ΔΗΜΟΤΙΚΟ ΣΧΟΛΕΙΟ ΠΑΤΡΑΣ</t>
  </si>
  <si>
    <t>mail@62dim-patras.ach.sch.gr</t>
  </si>
  <si>
    <t>ΑΡΗΤΗΣ  1 ΠΑΡΑΛΙΑ ΠΡΟΑΣΤΙΟΥ</t>
  </si>
  <si>
    <t>3ο ΔΗΜΟΤΙΚΟ ΣΧΟΛΕΙΟ ΠΑΡΑΛΙΑΣ ΠΑΤΡΩΝ</t>
  </si>
  <si>
    <t>mail@3dim-paral.ach.sch.gr</t>
  </si>
  <si>
    <t>Παραλία Πατρών</t>
  </si>
  <si>
    <t>Αθ. Αναγνωστοπούλου - Εργατικές Κατοικίες Παραλίας Πατρών</t>
  </si>
  <si>
    <t>3ο ΝΗΠΙΑΓΩΓΕΙΟ ΚΑΤΩ ΑΧΑΪΑΣ</t>
  </si>
  <si>
    <t>mail@3nip-k-achaias.ach.sch.gr</t>
  </si>
  <si>
    <t>ΚΑΤΩ ΑΧΑΪΑΣ</t>
  </si>
  <si>
    <t>ΙΩΑΝΝΑΣ ΓΕΩΡΓΟΥΛΟΠΟΥΛΟΥ</t>
  </si>
  <si>
    <t>ΔΗΜΟΤΙΚΟ ΣΧΟΛΕΙΟ ΚΛΕΙΤΟΡΙΑΣ</t>
  </si>
  <si>
    <t>mail@dim-kleit.ach.sch.gr</t>
  </si>
  <si>
    <t>ΚΛΕΙΤΟΡΙΑ</t>
  </si>
  <si>
    <t>ΔΗΜΟΤΙΚΟ ΣΧΟΛΕΙΟ ΚΑΛΛΙΘΕΑΣ ΠΑΤΡΩΝ</t>
  </si>
  <si>
    <t>mail@dim-kallith.ach.sch.gr</t>
  </si>
  <si>
    <t>ΑΓ. ΙΩΑΝ. ΧΡΥΣΟΣΤΟΜΟΥ</t>
  </si>
  <si>
    <t>ΔΗΜΟΤΙΚΟ ΣΧΟΛΕΙΟ ΣΤΑΥΡΟΔΡΟΜΙΟΥ</t>
  </si>
  <si>
    <t>mail@dim-stavr.ach.sch.gr</t>
  </si>
  <si>
    <t>ΣΤΑΥΡΟΔΡΟΜΙ</t>
  </si>
  <si>
    <t>4ο ΝΗΠΙΑΓΩΓΕΙΟ ΚΑΤΩ ΑΧΑΪΑΣ</t>
  </si>
  <si>
    <t>mail@4nip-k-achaias.ach.sch.gr</t>
  </si>
  <si>
    <t>ΙΩΑΝΝΟΥ ΠΡΟΔΡΟΜΟΥ</t>
  </si>
  <si>
    <t>Π.Ε. ΗΛΕΙΑΣ</t>
  </si>
  <si>
    <t>4ο ΝΗΠΙΑΓΩΓΕΙΟ ΑΜΑΛΙΑΔΑΣ</t>
  </si>
  <si>
    <t>mail@4nip-amaliad.ilei.sch.gr</t>
  </si>
  <si>
    <t>ΗΛΙΔΑΣ</t>
  </si>
  <si>
    <t>ΑΜΑΛΙΑΔΑΣ</t>
  </si>
  <si>
    <t>ΤΕΡΜΑ ΞΥΔΙΑ</t>
  </si>
  <si>
    <t>3ο ΝΗΠΙΑΓΩΓΕΙΟ ΑΜΑΛΙΑΔΑΣ</t>
  </si>
  <si>
    <t>mail@3nip-amaliad.ilei.sch.gr</t>
  </si>
  <si>
    <t>ΤΕΡΜΑ ΠΑΠΑΦΛΕΣΣΑ</t>
  </si>
  <si>
    <t>7ο ΝΗΠΙΑΓΩΓΕΙΟ ΑΜΑΛΙΑΔΑΣ</t>
  </si>
  <si>
    <t>mail@7nip-amaliad.ilei.sch.gr</t>
  </si>
  <si>
    <t>ΕΡΓΑΤΙΚΕΣ ΚΑΤΟΙΚΙΕΣ ΑΓΙΑΣ ΑΝΝΑΣ</t>
  </si>
  <si>
    <t>2ο ΝΗΠΙΑΓΩΓΕΙΟ ΑΜΑΛΙΑΔΑΣ</t>
  </si>
  <si>
    <t>mail@2nip-amaliad.ilei.sch.gr</t>
  </si>
  <si>
    <t>ΤΕΡΜΑ ΒΥΡΩΝΟΣ</t>
  </si>
  <si>
    <t>4ο ΝΗΠΙΑΓΩΓΕΙΟ ΠΥΡΓΟΥ</t>
  </si>
  <si>
    <t>mail@4nip-pyrgou.ilei.sch.gr</t>
  </si>
  <si>
    <t>ΠΥΡΓΟΥ</t>
  </si>
  <si>
    <t>8ο ΝΗΠΙΑΓΩΓΕΙΟ ΑΜΑΛΙΑΔΑΣ</t>
  </si>
  <si>
    <t>mail@8nip-amaliad.ilei.sch.gr</t>
  </si>
  <si>
    <t>ΤΕΡΜΑ ΕΥΑΓΓΕΛΙΣΤΡΙΑΣ</t>
  </si>
  <si>
    <t>10ο ΝΗΠΙΑΓΩΓΕΙΟ ΠΥΡΓΟΥ</t>
  </si>
  <si>
    <t>mail@10nip-pyrgou.ilei.sch.gr</t>
  </si>
  <si>
    <t>ΕΡΓΑΤΙΚΕΣ ΚΑΤΟΙΚΙΕΣ ΚΑΤΑΚΟΛΟΥ</t>
  </si>
  <si>
    <t>9ο ΝΗΠΙΑΓΩΓΕΙΟ ΠΥΡΓΟΥ</t>
  </si>
  <si>
    <t>mail@9nip-pyrgou.ilei.sch.gr</t>
  </si>
  <si>
    <t>ΠΑΡΟΔΟΣ ΛΑΜΠΕΤΙΟΥ</t>
  </si>
  <si>
    <t>11ο ΝΗΠΙΑΓΩΓΕΙΟ ΠΥΡΓΟΣ</t>
  </si>
  <si>
    <t>mail@11nip-pyrgou.ilei.sch.gr</t>
  </si>
  <si>
    <t>ΤΕΡΜΑ ΓΟΥΝΑΡΗ</t>
  </si>
  <si>
    <t>6ο ΝΗΠΙΑΓΩΓΕΙΟ ΠΥΡΓΟΣ</t>
  </si>
  <si>
    <t>mail@6nip-pyrgou.ilei.sch.gr</t>
  </si>
  <si>
    <t>ΛΑΜΠΕΤΙ</t>
  </si>
  <si>
    <t>1ο ΝΗΠΙΑΓΩΓΕΙΟ ΠΥΡΓΟΥ</t>
  </si>
  <si>
    <t>mail@1nip-pyrgou.ilei.sch.gr</t>
  </si>
  <si>
    <t>ΓΥΜΝΑΣΙΑΡΧΟΥ ΔΟΥΚΑ</t>
  </si>
  <si>
    <t>3ο ΔΗΜΟΤΙΚΟ ΣΧΟΛΕΙΟ ΠΥΡΓΟΥ</t>
  </si>
  <si>
    <t>mail@3dim-pyrgou.ilei.sch.gr</t>
  </si>
  <si>
    <t>ΡΟΦΙΑ 27</t>
  </si>
  <si>
    <t>2ο ΝΗΠΙΑΓΩΓΕΙΟ ΠΥΡΓΟΣ</t>
  </si>
  <si>
    <t>mail@2nip-pyrgou.ilei.sch.gr</t>
  </si>
  <si>
    <t>ΠΑΡΟΔΟΣ ΡΗΓΑ ΦΕΡΑΙΟΥ</t>
  </si>
  <si>
    <t>2ο ΝΗΠΙΑΓΩΓΕΙΟ ΓΑΣΤΟΥΝΗΣ</t>
  </si>
  <si>
    <t>mail@2nip-gastoun.ilei.sch.gr</t>
  </si>
  <si>
    <t>ΠΗΝΕΙΟΥ</t>
  </si>
  <si>
    <t>ΓΑΣΤΟΥΝΗΣ</t>
  </si>
  <si>
    <t>ΕΛΕΥΘΕΡΙΟΥ ΒΕΝΙΖΕΛΟΥ  49</t>
  </si>
  <si>
    <t>8ο ΝΗΠΙΑΓΩΓΕΙΟ ΠΥΡΓΟΣ</t>
  </si>
  <si>
    <t>mail@8nip-pyrgou.ilei.sch.gr</t>
  </si>
  <si>
    <t>ΑΓΙΟΥ ΑΡΤΕΜΙΟΥ ΚΑΙ ΔΕΡΒΕΝΑΚΙΩΝ</t>
  </si>
  <si>
    <t>5ο ΝΗΠΙΑΓΩΓΕΙΟ ΠΥΡΓΟΥ</t>
  </si>
  <si>
    <t>mail@5nip-pyrgou.ilei.sch.gr</t>
  </si>
  <si>
    <t>ΤΕΡΜΑ ΡΟΦΙΑ</t>
  </si>
  <si>
    <t>7ο ΝΗΠΙΑΓΩΓΕΙΟ ΠΥΡΓΟΥ</t>
  </si>
  <si>
    <t>mail@7nip-pyrgou.ilei.sch.gr</t>
  </si>
  <si>
    <t>Γορτυνίας &amp; Κιλκίς</t>
  </si>
  <si>
    <t>ΝΗΠΙΑΓΩΓΕΙΟ ΑΡΧΑΙΑΣ ΟΛΥΜΠΙΑΣ</t>
  </si>
  <si>
    <t>mail@nip-a-olymp.ilei.sch.gr</t>
  </si>
  <si>
    <t>ΑΡΧΑΙΑΣ ΟΛΥΜΠΙΑΣ</t>
  </si>
  <si>
    <t>ΑΡΧΑΙΑ ΟΛΥΜΠΙΑ</t>
  </si>
  <si>
    <t>ΑΡΧ.ΟΛΥΜΠΙΑ</t>
  </si>
  <si>
    <t>2ο ΔΗΜΟΤΙΚΟ ΣΧΟΛΕΙΟ ΠΥΡΓΟΥ</t>
  </si>
  <si>
    <t>mail@2dim-pyrgou.ilei.sch.gr</t>
  </si>
  <si>
    <t>Πύργος</t>
  </si>
  <si>
    <t>ΕΙΚΟΣΤΗΣ ΟΓΔΟΗΣ ΟΚΤΩΒΡΙΟΥ 49</t>
  </si>
  <si>
    <t>5ο ΝΗΠΙΑΓΩΓΕΙΟ ΑΜΑΛΙΑΔΑΣ</t>
  </si>
  <si>
    <t>mail@5nip-amaliad.ilei.sch.gr</t>
  </si>
  <si>
    <t>ΕΛ.ΒΕΝΙΖΕΛΟΥ 63</t>
  </si>
  <si>
    <t>2ο ΔΗΜΟΤΙΚΟ ΣΧΟΛΕΙΟ ΓΑΣΤΟΥΝΗΣ</t>
  </si>
  <si>
    <t>mail@2dim-gastoun.ilei.sch.gr</t>
  </si>
  <si>
    <t>ΓΑΣΤΟΥΝΗ</t>
  </si>
  <si>
    <t>ΕΛΕΥΘΕΡΙΟΥ ΒΕΝΙΖΕΛΟΥ 38</t>
  </si>
  <si>
    <t>6ο ΔΗΜΟΤΙΚΟ ΣΧΟΛΕΙΟ ΠΥΡΓΟΥ ΗΛΕΙΑΣ</t>
  </si>
  <si>
    <t>mail@6dim-pyrgou.ilei.sch.gr</t>
  </si>
  <si>
    <t>ΠΑΡΟΔΟΣ ΑΓΙΟΥ ΓΕΩΡΓΙΟΥ</t>
  </si>
  <si>
    <t>4ο ΔΗΜΟΤΙΚΟ ΣΧΟΛΕΙΟ ΠΥΡΓΟΥ</t>
  </si>
  <si>
    <t>mail@4dim-pyrgou.ilei.sch.gr</t>
  </si>
  <si>
    <t>ΑΓΙΟΥ ΑΡΤΕΜΙΟΥ 1</t>
  </si>
  <si>
    <t>1ο ΠΕΙΡΑΜΑΤΙΚΟ ΔΗΜΟΤΙΚΟ ΣΧΟΛΕΙΟ ΠΥΡΓΟΥ</t>
  </si>
  <si>
    <t>mail@1dim-pyrgou.ilei.sch.gr</t>
  </si>
  <si>
    <t>ΠΑΠΑΦΛΕΣΣΑ ΤΕΡΜΑ</t>
  </si>
  <si>
    <t>5ο ΔΗΜΟΤΙΚΟ ΣΧΟΛΕΙΟ ΠΥΡΓΟΥ</t>
  </si>
  <si>
    <t>mail@5dim-pyrgou.ilei.sch.gr</t>
  </si>
  <si>
    <t>7ο ΔΗΜΟΤΙΚΟ ΣΧΟΛΕΙΟ ΠΥΡΓΟΥ</t>
  </si>
  <si>
    <t>mail@7dim-pyrgou.ilei.sch.gr</t>
  </si>
  <si>
    <t>ΠΥΡΓΟΣ,</t>
  </si>
  <si>
    <t>ΟΛΥΜΠΙΩΝ 2</t>
  </si>
  <si>
    <t>1ο ΝΗΠΙΑΓΩΓΕΙΟ ΑΜΑΛΙΑΔΑΣ</t>
  </si>
  <si>
    <t>mail@1nip-amaliad.ilei.sch.gr</t>
  </si>
  <si>
    <t>ΤΕΡΜΑ ΠΛΑΤΩΝΟΣ Κ ΚΥΝΟΥΡΙΑΣ</t>
  </si>
  <si>
    <t>ΝΗΠΙΑΓΩΓΕΙΟ ΒΑΡΔΑΣ</t>
  </si>
  <si>
    <t>mail@1nip-vardas.ilei.sch.gr</t>
  </si>
  <si>
    <t>ΑΝΔΡΑΒΙΔΑΣ-ΚΥΛΛΗΝΗΣ</t>
  </si>
  <si>
    <t>ΒΑΡΔΑ ΗΛΕΙΑΣ</t>
  </si>
  <si>
    <t>ΒΑΡΔΑ</t>
  </si>
  <si>
    <t>1ο ΝΗΠΙΑΓΩΓΕΙΟ ΒΑΡΘΟΛΟΜΙΟΥ</t>
  </si>
  <si>
    <t>mail@1nip-varthol.ilei.sch.gr</t>
  </si>
  <si>
    <t>ΒΑΡΘΟΛΟΜΙΟ</t>
  </si>
  <si>
    <t>ΗΛΙΑ ΚΟΥΛΙΑΝΤΩΝΗ &amp; ΟΠΛΑΡΧΗΓΟΥ ΒΕΡΡΑ</t>
  </si>
  <si>
    <t>5ο ΔΗΜΟΤΙΚΟ ΣΧΟΛΕΙΟ ΑΜΑΛΙΑΔΑΣ</t>
  </si>
  <si>
    <t>mail@5dim-amaliad.ilei.sch.gr</t>
  </si>
  <si>
    <t>ΑΜΑΛΙΑΔΑ</t>
  </si>
  <si>
    <t>1ο ΔΗΜΟΤΙΚΟ ΣΧΟΛΕΙΟ ΛΕΧΑΙΝΩΝ "ΑΝΔΡΕΑΣ ΚΑΡΚΑΒΙΤΣΑΣ"</t>
  </si>
  <si>
    <t>mail@1dim-lechain.ilei.sch.gr</t>
  </si>
  <si>
    <t>ΛΕΧΑΙΝΑ</t>
  </si>
  <si>
    <t>ΤΕΡΜΑ Γ. ΔΡΟΣΙΝΗ</t>
  </si>
  <si>
    <t>3ο ΔΗΜΟΤΙΚΟ ΣΧΟΛΕΙΟ ΓΑΣΤΟΥΝΗΣ</t>
  </si>
  <si>
    <t>mail@3dim-gastoun.ilei.sch.gr</t>
  </si>
  <si>
    <t>ΚΑΡΑΪΣΚΟΥ 9</t>
  </si>
  <si>
    <t>1ο ΝΗΠΙΑΓΩΓΕΙΟ ΑΝΔΡΑΒΙΔΑΣ</t>
  </si>
  <si>
    <t>mail@1nip-andrav.ilei.sch.gr</t>
  </si>
  <si>
    <t>ΑΝΔΡΑΒΙΔΑ</t>
  </si>
  <si>
    <t>ΕΘΝΙΚΗΣ ΑΝΤΙΣΤΑΣΗΣ 1</t>
  </si>
  <si>
    <t>6ο ΔΗΜΟΤΙΚΟ ΣΧΟΛΕΙΟ ΑΜΑΛΙΑΔΑΣ</t>
  </si>
  <si>
    <t>mail@6dim-amaliad.ilei.sch.gr</t>
  </si>
  <si>
    <t>ΝΗΠΙΑΓΩΓΕΙΟ ΤΡΑΓΑΝΟΥ</t>
  </si>
  <si>
    <t>mail@nip-tragan.ilei.sch.gr</t>
  </si>
  <si>
    <t>ΤΡΑΓΑΝΟ</t>
  </si>
  <si>
    <t>2ο ΠΕΙΡΑΜΑΤΙΚΟ ΝΗΠΙΑΓΩΓΕΙΟ ΛΕΧΑΙΝΩΝ</t>
  </si>
  <si>
    <t>mail@2nip-lechain.ilei.sch.gr</t>
  </si>
  <si>
    <t>ΑΛΑΜΑΝΑΣ 4</t>
  </si>
  <si>
    <t>1ο ΝΗΠΙΑΓΩΓΕΙΟ ΛΕΧΑΙΝΩΝ</t>
  </si>
  <si>
    <t>mail@1nip-lechain.ilei.sch.gr</t>
  </si>
  <si>
    <t>1ο ΔΗΜΟΤΙΚΟ ΣΧΟΛΕΙΟ ΑΜΑΛΙΑΔΑΣ</t>
  </si>
  <si>
    <t>mail@1dim-amaliad.ilei.sch.gr</t>
  </si>
  <si>
    <t>ΕΥΑΓΓΕΛΙΣΤΡΙΑΣ 140</t>
  </si>
  <si>
    <t>ΔΗΜΟΤΙΚΟ ΣΧΟΛΕΙΟ ΜΥΡΣΙΝΗΣ</t>
  </si>
  <si>
    <t>mail@dim-myrsin.ilei.sch.gr</t>
  </si>
  <si>
    <t>Μυρσίνη,</t>
  </si>
  <si>
    <t>28ης  ΟΚΤΩΒΡΙΟΥ 68</t>
  </si>
  <si>
    <t>2ο ΔΗΜΟΤΙΚΟ ΣΧΟΛΕΙΟ ΑΜΑΛΙΑΔΑΣ</t>
  </si>
  <si>
    <t>mail@2dim-amaliad.ilei.sch.gr</t>
  </si>
  <si>
    <t>Αμαλιάδα,</t>
  </si>
  <si>
    <t>Τέρμα Βύρωνος</t>
  </si>
  <si>
    <t>ΔΗΜΟΤΙΚΟ ΣΧΟΛΕΙΟ ΧΑΒΑΡΙΟΥ</t>
  </si>
  <si>
    <t>mail@dim-chavar.ilei.sch.gr</t>
  </si>
  <si>
    <t>ΧΑΒΑΡΙ</t>
  </si>
  <si>
    <t>ΔΗΜΟΤΙΚΟ ΣΧΟΛΕΙΟ ΣΙΜΟΠΟΥΛΟΥ</t>
  </si>
  <si>
    <t>mail@dim-simop.ilei.sch.gr</t>
  </si>
  <si>
    <t>ΣΙΜΟΠΟΥΛΟ</t>
  </si>
  <si>
    <t>ΣΙΜΟΠΟΥΛΟ-ΗΛΕΙΑΣ</t>
  </si>
  <si>
    <t>1ο ΔΗΜΟΤΙΚΟ ΣΧΟΛΕΙΟ ΓΑΣΤΟΥΝΗΣ</t>
  </si>
  <si>
    <t>mail@1dim-gastoun.ilei.sch.gr</t>
  </si>
  <si>
    <t>ΣΙΣΙΝΗ 158</t>
  </si>
  <si>
    <t>2ο ΔΗΜΟΤΙΚΟ ΣΧΟΛΕΙΟ ΒΑΡΘΟΛΟΜΙΟΥ</t>
  </si>
  <si>
    <t>2dimvar@sch.gr</t>
  </si>
  <si>
    <t>Βαρθολομιό</t>
  </si>
  <si>
    <t>ΑΓΙΑΣ ΕΛΕΟΥΣΗΣ 7</t>
  </si>
  <si>
    <t>3ο ΔΗΜΟΤΙΚΟ ΣΧΟΛΕΙΟ ΑΜΑΛΙΑΔΑΣ</t>
  </si>
  <si>
    <t>mail@3dim-amaliad.ilei.sch.gr</t>
  </si>
  <si>
    <t>ΠΥΡΡΩΝΟΣ 75</t>
  </si>
  <si>
    <t>ΔΗΜΟΤΙΚΟ ΣΧΟΛΕΙΟ ΣΑΒΑΛΙΩΝ</t>
  </si>
  <si>
    <t>mail@dim-saval.ilei.sch.gr</t>
  </si>
  <si>
    <t>ΣΑΒΑΛΙΑ</t>
  </si>
  <si>
    <t>ΔΗΜΟΤΙΚΟ ΣΧΟΛΕΙΟ ΚΡΕΣΤΕΝΩΝ</t>
  </si>
  <si>
    <t>mail@dim-krest.ilei.sch.gr</t>
  </si>
  <si>
    <t>ΑΝΔΡΙΤΣΑΙΝΑΣ-ΚΡΕΣΤΕΝΩΝ</t>
  </si>
  <si>
    <t>ΚΡΕΣΤΕΝΩΝ</t>
  </si>
  <si>
    <t>ΚΡΕΣΤΕΝΑ</t>
  </si>
  <si>
    <t>ΔΗΜΟΤΙΚΟ ΣΧΟΛΕΙΟ ΣΚΟΥΡΟΧΩΡΙΟΥ</t>
  </si>
  <si>
    <t>mail@dim-skour.ilei.sch.gr</t>
  </si>
  <si>
    <t>ΣΚΟΥΡΟΧΩΡΙ</t>
  </si>
  <si>
    <t>ΠΥΡΓΟΥ-ΣΚΑΦΙΔΙΑΣ</t>
  </si>
  <si>
    <t>8ο ΔΗΜΟΤΙΚΟ ΣΧΟΛΕΙΟ ΠΥΡΓΟΥ</t>
  </si>
  <si>
    <t>mail@8dim-pyrgou.ilei.sch.gr</t>
  </si>
  <si>
    <t>ΔΗΜΟΤΙΚΟ ΣΧΟΛΕΙΟ ΠΕΛΟΠΙΟΥ</t>
  </si>
  <si>
    <t>mail@dim-pelop.ilei.sch.gr</t>
  </si>
  <si>
    <t>ΠΕΛΟΠΙΟ</t>
  </si>
  <si>
    <t>ΗΛΕΙΑΣ</t>
  </si>
  <si>
    <t>4ο ΠΕΙΡΑΜΑΤΙΚΟ ΔΗΜΟΤΙΚΟ ΣΧΟΛΕΙΟ ΑΜΑΛΙΑΔΑΣ</t>
  </si>
  <si>
    <t>mail@4dim-amaliad.ilei.sch.gr</t>
  </si>
  <si>
    <t>ΚΟΥΡΟΓΙΑΝΝΟΠΟΥΛΟΥ 41</t>
  </si>
  <si>
    <t>ΔΗΜΟΤΙΚΟ ΣΧΟΛΕΙΟ ΒΟΥΝΑΡΓΟΥ</t>
  </si>
  <si>
    <t>mail@dim-vounarg.ilei.sch.gr</t>
  </si>
  <si>
    <t>ΒΟΥΝΑΡΓΟ,</t>
  </si>
  <si>
    <t>ΒΟΥΝΑΡΓΟ</t>
  </si>
  <si>
    <t>ΔΗΜΟΤΙΚΟ ΣΧΟΛΕΙΟ ΑΝΔΡΑΒΙΔΑΣ</t>
  </si>
  <si>
    <t>mail@dim-andrav.ilei.sch.gr</t>
  </si>
  <si>
    <t>ΑΝΔΡΑΒΙΔΑ, ΗΛΕΙΑΣ</t>
  </si>
  <si>
    <t>ΔΗΜΟΤΙΚΟ ΣΧΟΛΕΙΟ ΕΠΙΤΑΛΙΟΥ</t>
  </si>
  <si>
    <t>dimepit@sch.gr</t>
  </si>
  <si>
    <t>ΕΠΙΤΑΛΙΟ</t>
  </si>
  <si>
    <t>Β. ΠΑΥΛΟΥ</t>
  </si>
  <si>
    <t>ΔΗΜΟΤΙΚΟ ΣΧΟΛΕΙΟ ΚΑΒΑΣΙΛΑ</t>
  </si>
  <si>
    <t>mail@dim-kavas.ilei.sch.gr</t>
  </si>
  <si>
    <t>ΚΑΒΑΣΙΛΑ</t>
  </si>
  <si>
    <t>ΚΑΡΔΙΑΚΑΥΤΙΟΥ 25</t>
  </si>
  <si>
    <t>ΔΗΜΟΤΙΚΟ ΣΧΟΛΕΙΟ ΑΡΧ. ΟΛΥΜΠΙΑΣ</t>
  </si>
  <si>
    <t>mail@dim-olymp.ilei.sch.gr</t>
  </si>
  <si>
    <t>Αρχαία Ολυμπία</t>
  </si>
  <si>
    <t>Αρχ. Ολυμπία</t>
  </si>
  <si>
    <t>10ο ΔΗΜΟΤΙΚΟ ΣΧΟΛΕΙΟ ΠΥΡΓΟΥ</t>
  </si>
  <si>
    <t>mail@10dim-pyrgou.ilei.sch.gr</t>
  </si>
  <si>
    <t>ΤΕΡΜΑ ΑΡΧΙΜΗΔΟΥΣ</t>
  </si>
  <si>
    <t>ΔΗΜΟΤΙΚΟ ΣΧΟΛΕΙΟ ΜΥΡΤΙΑΣ ΗΛΕΙΑΣ</t>
  </si>
  <si>
    <t>mail@dim-myrteas.ilei.sch.gr</t>
  </si>
  <si>
    <t>ΜΥΡΤΙΑ</t>
  </si>
  <si>
    <t>ΜΥΡΤΙΑ ΗΛΕΙΑΣ</t>
  </si>
  <si>
    <t>ΔΗΜΟΤΙΚΟ ΣΧΟΛΕΙΟ ΜΑΝΟΛΑΔΑΣ</t>
  </si>
  <si>
    <t>mail@dim-manol.ilei.sch.gr</t>
  </si>
  <si>
    <t>ΜΑΝΟΛΑΔΑ</t>
  </si>
  <si>
    <t>ΣΑΚΗ ΒΑΛΟΓΙΑΝΝΗ</t>
  </si>
  <si>
    <t>ΔΗΜΟΤΙΚΟ ΣΧΟΛΕΙΟ ΝΕΑΣ ΜΑΝΟΛΑΔΑΣ</t>
  </si>
  <si>
    <t>mail@dim-n-manol.ilei.sch.gr</t>
  </si>
  <si>
    <t>ΝΕΑ ΜΑΝΟΛΑΔΑ</t>
  </si>
  <si>
    <t>1ο ΔΗΜΟΤΙΚΟ ΣΧΟΛΕΙΟ ΖΑΧΑΡΩΣ</t>
  </si>
  <si>
    <t>mail@dim-zachar.ilei.sch.gr</t>
  </si>
  <si>
    <t>ΖΑΧΑΡΩΣ</t>
  </si>
  <si>
    <t>ΖΑΧΑΡΩ</t>
  </si>
  <si>
    <t>ΝΗΠΙΑΓΩΓΕΙΟ ΚΡΕΣΤΕΝΩΝ</t>
  </si>
  <si>
    <t>mail@nip-krest.ilei.sch.gr</t>
  </si>
  <si>
    <t>2ο ΝΗΠΙΑΓΩΓΕΙΟ ΖΑΧΑΡΩΣ</t>
  </si>
  <si>
    <t>mail@2nip-zachar.ilei.sch.gr</t>
  </si>
  <si>
    <t>2ο ΠΕΙΡΑΜΑΤΙΚΟ ΔΗΜΟΤΙΚΟ ΣΧΟΛΕΙΟ ΛΕΧΑΙΝΩΝ "ΠΑΡΗΣ ΚΑΤΣΟΥΦΗΣ"</t>
  </si>
  <si>
    <t>mail@2dim-lechain.ilei.sch.gr</t>
  </si>
  <si>
    <t>ΔΗΜΟΤΙΚΟ ΣΧΟΛΕΙΟ ΤΡΑΓΑΝΟΥ</t>
  </si>
  <si>
    <t>mail@dim-tragan.ilei.sch.gr</t>
  </si>
  <si>
    <t>Π. ΠΑΤΡΩΝ ΓΕΡΜΑΝΟΥ</t>
  </si>
  <si>
    <t>1ο ΔΗΜΟΤΙΚΟ ΣΧΟΛΕΙΟ ΒΑΡΔΑΣ</t>
  </si>
  <si>
    <t>mail@dim-vardas.ilei.sch.gr</t>
  </si>
  <si>
    <t>1ο ΔΗΜΟΤΙΚΟ ΣΧΟΛΕΙΟ ΒΑΡΘΟΛΟΜΙΟΥ</t>
  </si>
  <si>
    <t>mail@1dim-varth.ilei.sch.gr</t>
  </si>
  <si>
    <t>Αγ. Παντελεήμονος 33</t>
  </si>
  <si>
    <t>ΔΗΜΟΤΙΚΟ ΣΧΟΛΕΙΟ ΝΕΟΧΩΡΙΟΥ</t>
  </si>
  <si>
    <t>mail@dim-neoch.ilei.sch.gr</t>
  </si>
  <si>
    <t>Νεοχώρι</t>
  </si>
  <si>
    <t>ΔΥΤΙΚΗΣ ΜΑΚΕΔΟΝΙΑΣ</t>
  </si>
  <si>
    <t>Π.Ε. ΓΡΕΒΕΝΩΝ</t>
  </si>
  <si>
    <t>4ο  ΔΗΜΟΤΙΚΟ ΣΧΟΛΕΙΟ ΓΡΕΒΕΝΩΝ</t>
  </si>
  <si>
    <t>mail@4dim-greven.gre.sch.gr</t>
  </si>
  <si>
    <t>ΓΡΕΒΕΝΩΝ</t>
  </si>
  <si>
    <t>ΓΡΕΒΕΝA</t>
  </si>
  <si>
    <t>ΝΙΚΗΣ 1</t>
  </si>
  <si>
    <t>2ο ΔΗΜΟΤΙΚΟ ΣΧΟΛΕΙΟ ΓΡΕΒΕΝΩΝ</t>
  </si>
  <si>
    <t>mail@2dim-greven.gre.sch.gr</t>
  </si>
  <si>
    <t>ΓΡΕΒΕΝΑ</t>
  </si>
  <si>
    <t>ΓΕΩΡΓΙΟΥ ΜΠΟΥΣΙΟΥ 38</t>
  </si>
  <si>
    <t>1ο ΔΗΜΟΤΙΚΟ ΣΧΟΛΕΙΟ ΓΡΕΒΕΝΩΝ</t>
  </si>
  <si>
    <t>mail@1dim-greven.gre.sch.gr</t>
  </si>
  <si>
    <t>Λ. ΣΟΦΟΥ 10</t>
  </si>
  <si>
    <t>2ο  ΔΗΜΟΤΙΚΟ ΣΧΟΛΕΙΟ ΔΕΣΚΑΤΗΣ</t>
  </si>
  <si>
    <t>mail@2dim-deskat.gre.sch.gr</t>
  </si>
  <si>
    <t>ΔΕΣΚΑΤΗΣ</t>
  </si>
  <si>
    <t>ΔΕΣΚΑΤΗ</t>
  </si>
  <si>
    <t>2ο ΝΗΠΙΑΓΩΓΕΙΟ ΓΡΕΒΕΝΩΝ</t>
  </si>
  <si>
    <t>mail@2nip-greven.gre.sch.gr</t>
  </si>
  <si>
    <t>ΠΑΡ. ΕΥΑΓΓΕΛΙΣΤΡΙΑΣ 33</t>
  </si>
  <si>
    <t>2ο ΝΗΠΙΑΓΩΓΕΙΟ ΔΕΣΚΑΤΗΣ</t>
  </si>
  <si>
    <t>mail@2nip-deskat.gre.sch.gr</t>
  </si>
  <si>
    <t>6ο ΔΗΜΟΤΙΚΟ ΣΧΟΛΕΙΟ ΓΡΕΒΕΝΩΝ</t>
  </si>
  <si>
    <t>mail@6dim-greven.gre.sch.gr</t>
  </si>
  <si>
    <t>ΕΡΓΑΤΙΚΕΣ ΚΑΤΟΙΚΙΕΣ</t>
  </si>
  <si>
    <t>3ο ΝΗΠΙΑΓΩΓΕΙΟ ΓΡΕΒΕΝΩΝ</t>
  </si>
  <si>
    <t>mail@3nip-greven.gre.sch.gr</t>
  </si>
  <si>
    <t>ΑΓΙΟΥ ΓΕΩΡΓΙΟΥ 108</t>
  </si>
  <si>
    <t>1ο  ΝΗΠΙΑΓΩΓΕΙΟ ΓΡΕΒΕΝΩΝ</t>
  </si>
  <si>
    <t>mail@1nip-greven.gre.sch.gr</t>
  </si>
  <si>
    <t>ΘΕΟΔΩΡΟΥ ΖΙΑΚΑ 18</t>
  </si>
  <si>
    <t>1ο  ΔΗΜΟΤΙΚΟ ΣΧΟΛΕΙΟ ΔΕΣΚΑΤΗΣ</t>
  </si>
  <si>
    <t>mail@1dim-deskat.gre.sch.gr</t>
  </si>
  <si>
    <t>Κ. ΚΑΒΑΦΗ 1</t>
  </si>
  <si>
    <t>3ο ΔΗΜΟΤΙΚΟ ΣΧΟΛΕΙΟ ΓΡΕΒΕΝΩΝ</t>
  </si>
  <si>
    <t>mail@3dim-greven.gre.sch.gr</t>
  </si>
  <si>
    <t>13ης ΟΚΤΩΒΡΙΟΥ 90</t>
  </si>
  <si>
    <t>7ο ΔΗΜΟΤΙΚΟ ΣΧΟΛΕΙΟ ΓΡΕΒΕΝΩΝ</t>
  </si>
  <si>
    <t>mail@7dim-greven.gre.sch.gr</t>
  </si>
  <si>
    <t>Μ. ΑΛΕΞΑΝΔΡΟΥ ΤΕΡΜΑ</t>
  </si>
  <si>
    <t>9ο  ΝΗΠΙΑΓΩΓΕΙΟ ΓΡΕΒΕΝΩΝ</t>
  </si>
  <si>
    <t>mail@9nip-greven.gre.sch.gr</t>
  </si>
  <si>
    <t>ΤΕΡΜΑ Μ. ΑΛΕΞΑΝΔΡΟΥ</t>
  </si>
  <si>
    <t>5ο ΔΗΜΟΤΙΚΟ ΣΧΟΛΕΙΟ ΓΡΕΒΕΝΩΝ</t>
  </si>
  <si>
    <t>mail@5dim-greven.gre.sch.gr</t>
  </si>
  <si>
    <t>Π.Ε. ΚΑΣΤΟΡΙΑΣ</t>
  </si>
  <si>
    <t>9ο ΔΗΜΟΤΙΚΟ ΣΧΟΛΕΙΟ ΚΑΣΤΟΡΙΑΣ</t>
  </si>
  <si>
    <t>mail@9dim-kastor.kas.sch.gr</t>
  </si>
  <si>
    <t>ΚΑΣΤΟΡΙΑΣ</t>
  </si>
  <si>
    <t>ΚΑΣΤΟΡΙΑ</t>
  </si>
  <si>
    <t>ΦΟΥΝΤΟΥΚΛΗ - ΧΛΟΗ</t>
  </si>
  <si>
    <t>3ο ΝΗΠΙΑΓΩΓΕΙΟ ΚΑΣΤΟΡΙΑΣ</t>
  </si>
  <si>
    <t>mail@3nip-kastor.kas.sch.gr</t>
  </si>
  <si>
    <t>ΧΡΙΣΤΟΠΟΥΛΟΥ 47</t>
  </si>
  <si>
    <t>3ο ΝΗΠΙΑΓΩΓΕΙΟ ΑΡΓΟΥΣ ΟΡΕΣΤΙΚΟΥ</t>
  </si>
  <si>
    <t>mail@3nip-argous.kas.sch.gr</t>
  </si>
  <si>
    <t>ΑΡΓΟΥΣ ΟΡΕΣΤΙΚΟΥ</t>
  </si>
  <si>
    <t>ΑΡΓΟΣ  ΟΡΕΣΤΙΚΟ</t>
  </si>
  <si>
    <t>ΑΡΜΕΝΟΧΩΡΙΟΥ  58</t>
  </si>
  <si>
    <t>1ο ΝΗΠΙΑΓΩΓΕΙΟ ΑΡΓΟΥΣ ΟΡΕΣΤΙΚΟΥ</t>
  </si>
  <si>
    <t>mail@1nip-argous.kas.sch.gr</t>
  </si>
  <si>
    <t>ΣΜΥΡΝΗΣ 5</t>
  </si>
  <si>
    <t>4ο ΝΗΠΙΑΓΩΓΕΙΟ ΑΡΓΟΥΣ ΟΡΕΣΤΙΚΟΥ</t>
  </si>
  <si>
    <t>mail@4nip-argous.kas.sch.gr</t>
  </si>
  <si>
    <t>25ΗΣ ΜΑΡΤΙΟΥ</t>
  </si>
  <si>
    <t>5ο ΝΗΠΙΑΓΩΓΕΙΟ ΚΑΣΤΟΡΙΑΣ</t>
  </si>
  <si>
    <t>mail@5nip-kastor.kas.sch.gr</t>
  </si>
  <si>
    <t>ΓΡΑΜΜΟΥ 102</t>
  </si>
  <si>
    <t>2ο ΝΗΠΙΑΓΩΓΕΙΟ ΑΡΓΟΥΣ ΟΡΕΣΤΙΚΟΥ</t>
  </si>
  <si>
    <t>mail@2nip-argous.kas.sch.gr</t>
  </si>
  <si>
    <t>ΑΡΓΟΣ   ΟΡΕΣΤΙΚΟ</t>
  </si>
  <si>
    <t>ΚΑΝΟΠΟΥΛΟΥ 25</t>
  </si>
  <si>
    <t>6ο ΝΗΠΙΑΓΩΓΕΙΟ ΚΑΣΤΟΡΙΑΣ</t>
  </si>
  <si>
    <t>mail@6nip-kastor.kas.sch.gr</t>
  </si>
  <si>
    <t>ΔΕΛΦΩΝ 1</t>
  </si>
  <si>
    <t>2ο ΝΗΠΙΑΓΩΓΕΙΟ ΚΑΣΤΟΡΙΑΣ</t>
  </si>
  <si>
    <t>mail@2nip-kastor.kas.sch.gr</t>
  </si>
  <si>
    <t>ΠΛΑΤΕΙΑ ΑΔΕΛΦΩΝ ΕΜΜΑΝΟΥΗΛ</t>
  </si>
  <si>
    <t>9ο ΠΕΙΡΑΜΑΤΙΚΟ ΝΗΠΙΑΓΩΓΕΙΟ ΚΑΣΤΟΡΙΑΣ</t>
  </si>
  <si>
    <t>mail@9nip-kastor.kas.sch.gr</t>
  </si>
  <si>
    <t>ΓΡΑΜΜΟΥ-ΑΡΙΣΤΑΡΧΟΥ</t>
  </si>
  <si>
    <t>ΔΗΜΟΤΙΚΟ ΣΧΟΛΕΙΟ ΚΩΣΤΑΡΑΖΙΟΥ</t>
  </si>
  <si>
    <t>mail@dim-kostar.kas.sch.gr</t>
  </si>
  <si>
    <t>ΚΩΣΤΑΡΑΖΙ</t>
  </si>
  <si>
    <t>7ο ΔΗΜΟΤΙΚΟ ΣΧΟΛΕΙΟ ΚΑΣΤΟΡΙΑΣ</t>
  </si>
  <si>
    <t>mail@7dim-kastor.kas.sch.gr</t>
  </si>
  <si>
    <t>ΠΛΑΤΕΙΑ ΑΦΩΝ ΕΜΜΑΝΟΥΗΛ ΚΑΣΤΟΡΙΑ</t>
  </si>
  <si>
    <t>3ο ΝΗΠΙΑΓΩΓΕΙΟ ΜΑΝΙΑΚΩΝ</t>
  </si>
  <si>
    <t>mail@3nip-maniak.kas.sch.gr</t>
  </si>
  <si>
    <t>ΜΑΝΙΑΚΩΝ</t>
  </si>
  <si>
    <t>ΑΡΜΕΝΟΧΩΡΙΟΥ 10</t>
  </si>
  <si>
    <t>1ο ΝΗΠΙΑΓΩΓΕΙΟ ΜΑΝΙΑΚΩΝ</t>
  </si>
  <si>
    <t>mail@1nip-maniak.kas.sch.gr</t>
  </si>
  <si>
    <t>ΜΕΓ.ΑΛΕΞΑΝΔΡΟΥ 2</t>
  </si>
  <si>
    <t>1ο ΝΗΠΙΑΓΩΓΕΙΟ ΜΕΣΟΠΟΤΑΜΙΑΣ</t>
  </si>
  <si>
    <t>mail@1nip-mesop.kas.sch.gr</t>
  </si>
  <si>
    <t>ΜΕΣΟΠΟΤΑΜΙΑΣ</t>
  </si>
  <si>
    <t>ΜΕΣΟΠΟΤΑΜΙΑ</t>
  </si>
  <si>
    <t>2ο ΔΗΜΟΤΙΚΟ ΣΧΟΛΕΙΟ ΜΑΝΙΑΚΩΝ</t>
  </si>
  <si>
    <t>mail@2dim-maniak.kas.sch.gr</t>
  </si>
  <si>
    <t xml:space="preserve">Μανιάκοι </t>
  </si>
  <si>
    <t>1ο ΔΗΜΟΤΙΚΟ ΣΧΟΛΕΙΟ ΜΑΝΙΑΚΩΝ</t>
  </si>
  <si>
    <t>mail@1dim-maniak.kas.sch.gr</t>
  </si>
  <si>
    <t>ΜΑΝΙΑΚΟΙ</t>
  </si>
  <si>
    <t>Μ. ΑΛΕΞΑΝΔΡΟΥ 2</t>
  </si>
  <si>
    <t>ΔΗΜΟΤΙΚΟ ΣΧΟΛΕΙΟ ΜΕΣΟΠΟΤΑΜΙΑΣ</t>
  </si>
  <si>
    <t>mail@dim-mesop.kas.sch.gr</t>
  </si>
  <si>
    <t>ΔΗΜΟΤΙΚΟ ΣΧΟΛΕΙΟ ΔΙΣΠΗΛΙΟΥ</t>
  </si>
  <si>
    <t>mail@dim-dispil.kas.sch.gr</t>
  </si>
  <si>
    <t>ΔΙΣΠΗΛΙΟ</t>
  </si>
  <si>
    <t>ΑΓΙΟΥ ΑΘΑΝΑΣΙΟΥ 2</t>
  </si>
  <si>
    <t>ΔΗΜΟΤΙΚΟ ΣΧΟΛΕΙΟ ΧΙΛΙΟΔΕΝΔΡΟΥ</t>
  </si>
  <si>
    <t>mail@dim-porias.kas.sch.gr</t>
  </si>
  <si>
    <t>ΧΙΛΙΟΔΕΝΔΡΟ</t>
  </si>
  <si>
    <t>1ο ΔΗΜΟΤΙΚΟ ΣΧΟΛΕΙΟ ΚΑΣΤΟΡΙΑΣ</t>
  </si>
  <si>
    <t>mail@1dim-kastor.kas.sch.gr</t>
  </si>
  <si>
    <t>ΜΑΝΩΛΑΚΗ 26</t>
  </si>
  <si>
    <t>3ο ΔΗΜΟΤΙΚΟ ΣΧΟΛΕΙΟ ΚΑΣΤΟΡΙΑΣ - ΑΘΑΝΑΣΙΟΣ ΧΡΙΣΤΟΠΟΥΛΟΣ</t>
  </si>
  <si>
    <t>mail@3dim-kastor.kas.sch.gr</t>
  </si>
  <si>
    <t>4ο ΔΗΜΟΤΙΚΟ ΣΧΟΛΕΙΟ ΚΑΣΤΟΡΙΑΣ</t>
  </si>
  <si>
    <t>mail@4dim-kastor.kas.sch.gr</t>
  </si>
  <si>
    <t>ΜΕΓΑΛΟΥ  ΑΛΕΞΑΝΔΡΟΥ 13</t>
  </si>
  <si>
    <t>5ο ΔΗΜΟΤΙΚΟ ΣΧΟΛΕΙΟ ΚΑΣΤΟΡΙΑΣ</t>
  </si>
  <si>
    <t>mail@5dim-kastor.kas.sch.gr</t>
  </si>
  <si>
    <t>ΖΑΛΟΓΓΟΥ 9Α</t>
  </si>
  <si>
    <t>6ο ΔΗΜΟΤΙΚΟ ΣΧΟΛΕΙΟ ΚΑΣΤΟΡΙΑΣ</t>
  </si>
  <si>
    <t>mail@6dim-kastor.kas.sch.gr</t>
  </si>
  <si>
    <t>ΑΛΕΞΑΝΔΡΟΥ  ΠΑΠΑΓΟΥ 18</t>
  </si>
  <si>
    <t>ΔΗΜΟΤΙΚΟ ΣΧΟΛΕΙΟ ΚΟΡΗΣΟΥ</t>
  </si>
  <si>
    <t>mail@dim-koris.kas.sch.gr</t>
  </si>
  <si>
    <t>ΚΟΡΗΣΟΣ</t>
  </si>
  <si>
    <t>ΔΗΜΟΤΙΚΟ ΣΧΟΛΕΙΟ ΜΑΥΡΟΧΩΡΙΟΥ - ΓΕΡΜΑΝΟΣ ΧΡΗΣΤΙΔΗΣ</t>
  </si>
  <si>
    <t>mail@dim-mavroch.kas.sch.gr</t>
  </si>
  <si>
    <t>ΜΑΥΡΟΧΩΡΙΟΥ</t>
  </si>
  <si>
    <t>ΔΑΣΚΑΛΟΥ ΔΙΑΜΑΝΤΗ ΜΑΝΤΟΠΟΥΛΟΥ</t>
  </si>
  <si>
    <t>1ο ΔΗΜΟΤΙΚΟ ΣΧΟΛΕΙΟ ΑΡΓΟΥΣ ΟΡΕΣΤΙΚΟΥ</t>
  </si>
  <si>
    <t>mail@1dim-argous.kas.sch.gr</t>
  </si>
  <si>
    <t>ΣΠΥΡΟΥ  ΛΟΥΗ 12</t>
  </si>
  <si>
    <t>2ο ΔΗΜΟΤΙΚΟ ΣΧΟΛΕΙΟ ΑΡΓΟΥΣ ΟΡΕΣΤΙΚΟΥ</t>
  </si>
  <si>
    <t>mail@2dim-argous.kas.sch.gr</t>
  </si>
  <si>
    <t>ΑΡΓΟΣ ΟΡΕΣΤΙΚΟ</t>
  </si>
  <si>
    <t>ΜΙΧΑΗΛ ΖΑΧΟΥ 9</t>
  </si>
  <si>
    <t>4ο ΔΗΜΟΤΙΚΟ ΣΧΟΛΕΙΟ ΑΡΓΟΥΣ ΟΡΕΣΤΙΚΟΥ</t>
  </si>
  <si>
    <t>mail@4dim-argous.kas.sch.gr</t>
  </si>
  <si>
    <t>ΠΑΠΑΣΤΕΡΓΙΟΥ 40</t>
  </si>
  <si>
    <t>3ο ΔΗΜΟΤΙΚΟ ΣΧΟΛΕΙΟ ΑΡΓΟΥΣ ΟΡΕΣΤΙΚΟΥ</t>
  </si>
  <si>
    <t>mail@3dim-argous.kas.sch.gr</t>
  </si>
  <si>
    <t>ΑΡΜΕΝΟΧΩΡΙΟΥ 60</t>
  </si>
  <si>
    <t>10ο ΝΗΠΙΑΓΩΓΕΙΟ ΚΑΣΤΟΡΙΑΣ</t>
  </si>
  <si>
    <t>mail@10nip-kastor.kas.sch.gr</t>
  </si>
  <si>
    <t>ΧΛΟΗ</t>
  </si>
  <si>
    <t>10ο ΠΕΙΡΑΜΑΤΙΚΟ ΔΗΜΟΤΙΚΟ ΣΧΟΛΕΙΟ ΚΑΣΤΟΡΙΑΣ</t>
  </si>
  <si>
    <t>mail@10dim-kastor.kas.sch.gr</t>
  </si>
  <si>
    <t>ΕΥ. ΠΑΠΑΝΟΥΤΣΟΥ, ΧΛΟΗ</t>
  </si>
  <si>
    <t>Π.Ε. ΚΟΖΑΝΗΣ</t>
  </si>
  <si>
    <t>6ο ΔΗΜΟΤΙΚΟ ΣΧΟΛΕΙΟ ΚΟΖΑΝΗΣ</t>
  </si>
  <si>
    <t>mail@6dim-kozan.koz.sch.gr</t>
  </si>
  <si>
    <t>ΚΟΖΑΝΗΣ</t>
  </si>
  <si>
    <t>Κοζάνη</t>
  </si>
  <si>
    <t>Κύπρου 2</t>
  </si>
  <si>
    <t>17ο ΝΗΠΙΑΓΩΓΕΙΟ ΚΟΖΑΝΗΣ</t>
  </si>
  <si>
    <t>mail@17nip-kozan.koz.sch.gr</t>
  </si>
  <si>
    <t>ΚΟΖΑΝΗ</t>
  </si>
  <si>
    <t>ΣΥΝΟΙΚΙΑ ΠΛΑΤΑΝΙΑ</t>
  </si>
  <si>
    <t>6ο ΝΗΠΙΑΓΩΓΕΙΟ ΠΤΟΛΕΜΑΪΔΑΣ-ΕΥΤΥΧΙΑ ΤΣΑΚΑΛΙΔΟΥ</t>
  </si>
  <si>
    <t>mail@6nip-ptolem.koz.sch.gr</t>
  </si>
  <si>
    <t>ΕΟΡΔΑΙΑΣ</t>
  </si>
  <si>
    <t>ΠΤΟΛΕΜΑΪΔΑ</t>
  </si>
  <si>
    <t>ΓΕΡΜΑΝΟΥ ΚΑΡΑΒΑΓΓΕΛΗ  4</t>
  </si>
  <si>
    <t>7ο ΝΗΠΙΑΓΩΓΕΙΟ ΠΤΟΛΕΜΑΪΔΑΣ</t>
  </si>
  <si>
    <t>mail@7nip-ptolem.koz.sch.gr</t>
  </si>
  <si>
    <t>ΠΤΟΛΕΜΑΪΔΑΣ</t>
  </si>
  <si>
    <t>ΒΑΣ. ΟΛΓΑΣ 17</t>
  </si>
  <si>
    <t>ΝΗΠΙΑΓΩΓΕΙΟ ΠΕΡΔΙΚΚΑ</t>
  </si>
  <si>
    <t>mail@nip-perdik.koz.sch.gr</t>
  </si>
  <si>
    <t>ΠΕΡΔΙΚΚΑ</t>
  </si>
  <si>
    <t>ΠΕΡΔΙΚΚΑΣ</t>
  </si>
  <si>
    <t>ΔΗΜΟΤΙΚΟ ΣΧΟΛΕΙΟ ΒΕΛΒΕΝΤΟΥ</t>
  </si>
  <si>
    <t>mail@dim-velvent.koz.sch.gr</t>
  </si>
  <si>
    <t>ΒΕΛΒΕΝΤΟΥ</t>
  </si>
  <si>
    <t>ΒΕΛΒΕΝΤΟ</t>
  </si>
  <si>
    <t>1ο  ΔΗΜΟΤΙΚΟ ΣΧΟΛΕΙΟ ΣΙΑΤΙΣΤΑΣ</t>
  </si>
  <si>
    <t>mail@1dim-siatist.koz.sch.gr</t>
  </si>
  <si>
    <t>ΒΟΪΟΥ</t>
  </si>
  <si>
    <t>ΣΙΑΤΙΣΤΑ</t>
  </si>
  <si>
    <t>ΜΗΤΡΟΠΟΛΕΩΣ 6</t>
  </si>
  <si>
    <t>5ο ΔΗΜΟΤΙΚΟ ΣΧΟΛΕΙΟ ΚΟΖΑΝΗΣ</t>
  </si>
  <si>
    <t>mail@5dim-kozan.koz.sch.gr</t>
  </si>
  <si>
    <t>ΠΟΠΟΒΙΤΣ 6</t>
  </si>
  <si>
    <t>17ο ΔΗΜΟΤΙΚΟ ΣΧΟΛΕΙΟ ΚΟΖΑΝΗΣ</t>
  </si>
  <si>
    <t>mail@17dim-kozan.koz.sch.gr</t>
  </si>
  <si>
    <t>ΚΑΛΒΟΥ ΑΝΔΡΕΑ</t>
  </si>
  <si>
    <t>ΔΗΜΟΤΙΚΟ ΣΧΟΛΕΙΟ ΝΕΑΣ ΧΑΡΑΥΓΗΣ</t>
  </si>
  <si>
    <t>mail@dim-n-charavg.koz.sch.gr</t>
  </si>
  <si>
    <t>ΝΕΑ ΧΑΡΑΥΓΗ</t>
  </si>
  <si>
    <t>ΝΕΑ ΧΑΡΑΥΓΗ ΚΟΖΑΝΗΣ</t>
  </si>
  <si>
    <t>6/Θ ΔΗΜΟΤΙΚΟ ΣΧΟΛΕΙΟ ΛΕΥΚΟΠΗΓΗΣ</t>
  </si>
  <si>
    <t>mail@dim-lefkop.koz.sch.gr</t>
  </si>
  <si>
    <t>ΛΕΥΚΟΠΗΓΗ</t>
  </si>
  <si>
    <t>ΔΗΜΟΤΙΚΟ ΣΧΟΛΕΙΟ ΔΡΕΠΑΝΟΥ ΚΟΖΑΝΗΣ</t>
  </si>
  <si>
    <t>mail@dim-drepan.koz.sch.gr</t>
  </si>
  <si>
    <t>ΔΡΕΠΑΝΟ</t>
  </si>
  <si>
    <t>8ο ΔΗΜΟΤΙΚΟ ΣΧΟΛΕΙΟ ΚΟΖΑΝΗΣ</t>
  </si>
  <si>
    <t>mail@8dim-kozan.koz.sch.gr</t>
  </si>
  <si>
    <t>ΜΙΝΩΤΑΥΡΟΥ 4</t>
  </si>
  <si>
    <t>1ο ΔΗΜΟΤΙΚΟ ΣΧΟΛΕΙΟ ΚΟΖΑΝΗΣ "ΓΕΩΡΓΙΟΣ ΚΟΝΤΑΡΗΣ"</t>
  </si>
  <si>
    <t>mail@1dim-kozan.koz.sch.gr</t>
  </si>
  <si>
    <t>ΚΟΝΤΑΡΗ 2</t>
  </si>
  <si>
    <t>1ο ΔΗΜΟΤΙΚΟ ΣΧΟΛΕΙΟ ΣΕΡΒΙΩΝ</t>
  </si>
  <si>
    <t>mail@1dim-servion.koz.sch.gr</t>
  </si>
  <si>
    <t>ΣΕΡΒΙΩΝ</t>
  </si>
  <si>
    <t>Σέρβια,</t>
  </si>
  <si>
    <t>Ανδρέα Γ. Παπανδρέου 11</t>
  </si>
  <si>
    <t>ΔΗΜΟΤΙΚΟ ΣΧΟΛΕΙΟ ΓΑΛΑΤΙΝΗΣ</t>
  </si>
  <si>
    <t>mail@dim-galat.koz.sch.gr</t>
  </si>
  <si>
    <t>ΓΑΛΑΤΙΝΗ</t>
  </si>
  <si>
    <t>ΠΑΠΑΕΥΘΥΜΙΟΥ 3</t>
  </si>
  <si>
    <t>2ο ΔΗΜΟΤΙΚΟ ΣΧΟΛΕΙΟ ΜΟΥΡΙΚΙΟΥ</t>
  </si>
  <si>
    <t>mail@dim-foufa.koz.sch.gr</t>
  </si>
  <si>
    <t>ΦΟΥΦΑΣ- ΜΗΛΟΧΩΡΙ</t>
  </si>
  <si>
    <t>1ο χμ.ΦΟΥΦΑ-ΜΗΛΟΧΩΡΙΟΥ</t>
  </si>
  <si>
    <t>2ο  ΔΗΜΟΤΙΚΟ ΣΧΟΛΕΙΟ ΚΟΖΑΝΗΣ</t>
  </si>
  <si>
    <t>mail@2dim-kozan.koz.sch.gr</t>
  </si>
  <si>
    <t>ΚΥΠΡΟΥ 2</t>
  </si>
  <si>
    <t>ΔΗΜΟΤΙΚΟ ΣΧΟΛΕΙΟ ΤΣΟΤΥΛΙΟΥ</t>
  </si>
  <si>
    <t>mail@dim-tsotyl.koz.sch.gr</t>
  </si>
  <si>
    <t>ΤΣΟΤΥΛΙ</t>
  </si>
  <si>
    <t>2ο ΔΗΜΟΤΙΚΟ ΣΧΟΛΕΙΟ ΣΕΡΒΙΩΝ</t>
  </si>
  <si>
    <t>mail@2dim-servion.koz.sch.gr</t>
  </si>
  <si>
    <t>Σέρβια</t>
  </si>
  <si>
    <t>Κωνσταντίνου Κάρπου 27,</t>
  </si>
  <si>
    <t>7ο ΔΗΜΟΤΙΚΟ ΣΧΟΛΕΙΟ ΚΟΖΑΝΗΣ</t>
  </si>
  <si>
    <t>mail@7dim-kozan.koz.sch.gr</t>
  </si>
  <si>
    <t>ΑΥΛΩΝΑΣ 7</t>
  </si>
  <si>
    <t>13ο ΔΗΜΟΤΙΚΟ ΣΧΟΛΕΙΟ ΚΟΖΑΝΗΣ</t>
  </si>
  <si>
    <t>mail@13dim-kozan.koz.sch.gr</t>
  </si>
  <si>
    <t>ΕΡΓΑΤΙΚΕΣ ΚΑΤΟΙΚΙΕΣ ΑΓΙΟΥ ΑΘΑΝΑΣΙΟΥ</t>
  </si>
  <si>
    <t>4ο ΝΗΠΙΑΓΩΓΕΙΟ ΠΤΟΛΕΜΑΪΔΑΣ</t>
  </si>
  <si>
    <t>mail@4nip-ptolem.koz.sch.gr</t>
  </si>
  <si>
    <t>ΠΑΡΟΔΟΣ ΔΗΜΗΤΡΑΣ  -ΒΑΡΒΟΥΤΗ</t>
  </si>
  <si>
    <t>9ο ΔΗΜΟΤΙΚΟ ΣΧΟΛΕΙΟ ΚΟΖΑΝΗΣ</t>
  </si>
  <si>
    <t>mail@9dim-kozan.koz.sch.gr</t>
  </si>
  <si>
    <t>ΑΙΜΙΛΙΑΝΟΥ ΓΡΕΒΕΝΩΝ 5</t>
  </si>
  <si>
    <t>12ο ΔΗΜΟΤΙΚΟ ΣΧΟΛΕΙΟ ΚΟΖΑΝΗΣ</t>
  </si>
  <si>
    <t>mail@12dim-kozan.koz.sch.gr</t>
  </si>
  <si>
    <t>12ο ΝΗΠΙΑΓΩΓΕΙΟ ΚΟΖΑΝΗΣ - ΜΑΝΩΛΗ ΔΗΜΟΥΔΙΑ</t>
  </si>
  <si>
    <t>mail@12nip-kozan.koz.sch.gr</t>
  </si>
  <si>
    <t>ΜΑΝΤΩ ΜΑΥΡΟΓΕΝΟΥΣ</t>
  </si>
  <si>
    <t>11ο ΔΗΜΟΤΙΚΟ ΣΧΟΛΕΙΟ ΚΟΖΑΝΗΣ</t>
  </si>
  <si>
    <t>mail@11dim-kozan.koz.sch.gr</t>
  </si>
  <si>
    <t>ΑΧΡΙΔΟΣ 10</t>
  </si>
  <si>
    <t>10ο ΔΗΜΟΤΙΚΟ ΣΧΟΛΕΙΟ ΚΟΖΑΝΗΣ</t>
  </si>
  <si>
    <t>mail@10dim-kozan.koz.sch.gr</t>
  </si>
  <si>
    <t>ΘΕΣΣΑΛΟΝΙΚΗΣ 33</t>
  </si>
  <si>
    <t>ΔΗΜΟΤΙΚΟ ΣΧΟΛΕΙΟ ΑΙΑΝΗΣ</t>
  </si>
  <si>
    <t>mail@dim-aianis.koz.sch.gr</t>
  </si>
  <si>
    <t>ΑΙΑΝΗ</t>
  </si>
  <si>
    <t>ΔΗΜΟΤΙΚΟ ΣΧΟΛΕΙΟ ΠΕΡΙΟΧΗΣ ΒΑΘΥΛΑΚΚΟΥ</t>
  </si>
  <si>
    <t>mail@dim-vathyl.koz.sch.gr</t>
  </si>
  <si>
    <t>ΚΟΥΒΟΥΚΛΙΑ</t>
  </si>
  <si>
    <t>ΔΗΜΟΤΙΚΟ ΣΧΟΛΕΙΟ ΑΓΙΟΥ ΔΗΜΗΤΡΙΟΥ ΚΟΖΑΝΗΣ</t>
  </si>
  <si>
    <t>mail@dim-ag-dimitr.koz.sch.gr</t>
  </si>
  <si>
    <t>ΑΓΙΟΣ ΔΗΜΗΤΡΙΟΣ ΚΟΖΑΝΗΣ</t>
  </si>
  <si>
    <t>3ο ΔΗΜΟΤΙΚΟ ΣΧΟΛΕΙΟ ΣΙΑΤΙΣΤΑΣ</t>
  </si>
  <si>
    <t>mail@3dim-siatist.koz.sch.gr</t>
  </si>
  <si>
    <t>ΑΝΔΡΕΑ ΠΑΠΑΝΔΡΕΟΥ</t>
  </si>
  <si>
    <t>ΔΗΜΟΤΙΚΟ ΣΧΟΛΕΙΟ ΚΟΙΛΩΝ ΚΟΖΑΝΗΣ</t>
  </si>
  <si>
    <t>mail@dim-koilon.koz.sch.gr</t>
  </si>
  <si>
    <t>ΚΟΙΛΑ ΚΟΖΑΝΗΣ</t>
  </si>
  <si>
    <t>ΚΟΙΛΑ</t>
  </si>
  <si>
    <t>2ο ΔΗΜΟΤΙΚΟ ΣΧΟΛΕΙΟ ΣΙΑΤΙΣΤΑΣ</t>
  </si>
  <si>
    <t>mail@2dim-siatist.koz.sch.gr</t>
  </si>
  <si>
    <t>ΠΛΑΤΕΙΑ ΚΟΥΚΟΥΛΙΔΟΥ</t>
  </si>
  <si>
    <t>ΔΗΜΟΤΙΚΟ ΣΧΟΛΕΙΟ ΑΝΩ ΚΩΜΗΣ - ΖΗΣΕΙΟ</t>
  </si>
  <si>
    <t>mail@dim-an-komis.koz.sch.gr</t>
  </si>
  <si>
    <t>ΑΝΩ ΚΩΜΗ</t>
  </si>
  <si>
    <t>2ο ΔΗΜΟΤΙΚΟ ΣΧΟΛΕΙΟ ΠΤΟΛΕΜΑΪΔΑΣ</t>
  </si>
  <si>
    <t>mail@2dim-ptolem.koz.sch.gr</t>
  </si>
  <si>
    <t>11ο  ΝΗΠΙΑΓΩΓΕΙΟ ΚΟΖΑΝΗΣ (ΛΙΑΠΕΙΟ)</t>
  </si>
  <si>
    <t>mail@11nip-kozan.koz.sch.gr</t>
  </si>
  <si>
    <t>ΠΟΝΤΟΥ 8</t>
  </si>
  <si>
    <t>1ο ΝΗΠΙΑΓΩΓΕΙΟ ΚΡΟΚΟΣ</t>
  </si>
  <si>
    <t>mail@1nip-krokou.koz.sch.gr</t>
  </si>
  <si>
    <t>ΚΡΟΚΟΣ</t>
  </si>
  <si>
    <t>ΚΡΟΚΟΣ 1</t>
  </si>
  <si>
    <t>3ο ΝΗΠΙΑΓΩΓΕΙΟ ΚΟΖΑΝΗΣ</t>
  </si>
  <si>
    <t>mail@3nip-kozan.koz.sch.gr</t>
  </si>
  <si>
    <t>ΠΥΘΑΓΟΡΑ-ΠΛΑΤΩΝΟΣ-Α.ΜΙΑΟΥΛΗ 10</t>
  </si>
  <si>
    <t>14ο ΝΗΠΙΑΓΩΓΕΙΟ ΚΟΖΑΝΗΣ</t>
  </si>
  <si>
    <t>mail@14nip-kozan.koz.sch.gr</t>
  </si>
  <si>
    <t>ΓΕΩΡΓΙΟΥ ΤΙΑΛΙΟΥ 4</t>
  </si>
  <si>
    <t>18ο ΝΗΠΙΑΓΩΓΕΙΟ ΚΟΖΑΝΗ</t>
  </si>
  <si>
    <t>mail@18nip-kozan.koz.sch.gr</t>
  </si>
  <si>
    <t>ΔΗΜΟΤΙΚΟ ΠΑΡΚΟ</t>
  </si>
  <si>
    <t>10ο ΝΗΠΙΑΓΩΓΕΙΟ ΚΟΖΑΝΗΣ</t>
  </si>
  <si>
    <t>mail@10nip-kozan.koz.sch.gr</t>
  </si>
  <si>
    <t>Ευτέρπης 16</t>
  </si>
  <si>
    <t>13ο  ΝΗΠΙΑΓΩΓΕΙΟ ΚΟΖΑΝΗΣ</t>
  </si>
  <si>
    <t>mail@13nip-kozan.koz.sch.gr</t>
  </si>
  <si>
    <t>ΑΓΙΑΣ ΠΑΡΑΣΚΕΥΗΣ 10</t>
  </si>
  <si>
    <t>ΔΗΜΟΤΙΚΟ ΣΧΟΛΕΙΟ ΛΕΥΚΟΒΡΥΣΗΣ</t>
  </si>
  <si>
    <t>mail@dim-lefkovr.koz.sch.gr</t>
  </si>
  <si>
    <t>KOΖΑΝΗ</t>
  </si>
  <si>
    <t>ΛΕΥΚΟΒΡΥΣΗ</t>
  </si>
  <si>
    <t>2ο ΔΗΜΟΤΙΚΟ ΣΧΟΛΕΙΟ ΚΡΟΚΟΥ</t>
  </si>
  <si>
    <t>mail@2dim-krokou.koz.sch.gr</t>
  </si>
  <si>
    <t>ΚΡΟΚΟΣ ΚΟΖΑΝΗΣ</t>
  </si>
  <si>
    <t>ΠΑΛΑΙΟΥ ΣΤΑΔΙΟΥ 1</t>
  </si>
  <si>
    <t>4ο ΝΗΠΙΑΓΩΓΕΙΟ ΣΙΑΤΙΣΤΑΣ</t>
  </si>
  <si>
    <t>mail@4nip-siatist.koz.sch.gr</t>
  </si>
  <si>
    <t>Σαμαρά Μάρκου 6,</t>
  </si>
  <si>
    <t>21ο ΝΗΠΙΑΓΩΓΕΙΟ ΚΟΖΑΝΗΣ - ΧΑΤΖΗΚΩΣΤΑ</t>
  </si>
  <si>
    <t>mail@21nip-kozan.koz.sch.gr</t>
  </si>
  <si>
    <t>ΜΑΝΟΥ ΚΑΤΡΑΚΗ  10</t>
  </si>
  <si>
    <t>2ο ΝΗΠΙΑΓΩΓΕΙΟ ΚΟΖΑΝΗΣ</t>
  </si>
  <si>
    <t>mail@2nip-kozan.koz.sch.gr</t>
  </si>
  <si>
    <t>ΘΕΣΣΑΛΟΝΙΚΗΣ 31</t>
  </si>
  <si>
    <t>19ο ΝΗΠΙΑΓΩΓΕΙΟ ΚΟΖΑΝΗ</t>
  </si>
  <si>
    <t>mail@19nip-kozan.koz.sch.gr</t>
  </si>
  <si>
    <t>ΑΓ. ΣΑΡΑΝΤΑ 20</t>
  </si>
  <si>
    <t>15ο ΝΗΠΙΑΓΩΓΕΙΟ ΚΟΖΑΝΗΣ-ΚΛΕΙΔΗ</t>
  </si>
  <si>
    <t>mail@15nip-kozan.koz.sch.gr</t>
  </si>
  <si>
    <t>ΟΛΥΜΠΟΥ 17</t>
  </si>
  <si>
    <t>4ο ΔΗΜΟΤΙΚΟ ΣΧΟΛΕΙΟ ΣΕΡΒΙΩΝ ΚΟΖΑΝΗΣ</t>
  </si>
  <si>
    <t>mail@4dim-servion.koz.sch.gr</t>
  </si>
  <si>
    <t>ΣΕΡΒΙΑ ΚΟΖΑΝΗΣ</t>
  </si>
  <si>
    <t>ΣΟΛΩΝΟΣ ΚΑΙ 6ΗΣ ΜΑΡΤΙΟΥ</t>
  </si>
  <si>
    <t>ΝΗΠΙΑΓΩΓΕΙΟ ΠΟΝΤΟΚΩΜΗ</t>
  </si>
  <si>
    <t>mail@nip-pontok.koz.sch.gr</t>
  </si>
  <si>
    <t>ΠΟΝΤΟΚΩΜΗ</t>
  </si>
  <si>
    <t>18ο ΝΗΠΙΑΓΩΓΕΙΟ ΠΤΟΛΕΜΑΪΔΑΣ</t>
  </si>
  <si>
    <t>mail@18nip-ptolem.koz.sch.gr</t>
  </si>
  <si>
    <t>ΜΑΤΣΟΥΚΑΣ  32</t>
  </si>
  <si>
    <t>ΔΗΜΟΤΙΚΟ ΣΧΟΛΕΙΟ ΠΕΡΔΙΚΚΑ</t>
  </si>
  <si>
    <t>mail@dim-perdik.koz.sch.gr</t>
  </si>
  <si>
    <t>Περδίκκας</t>
  </si>
  <si>
    <t>10ο ΝΗΠΙΑΓΩΓΕΙΟ ΠΤΟΛΕΜΑΪΔΑΣ</t>
  </si>
  <si>
    <t>mail@10nip-ptolem.koz.sch.gr</t>
  </si>
  <si>
    <t>Δ ΤΟΜΕΑΣ 11 Α</t>
  </si>
  <si>
    <t>1ο ΔΗΜΟΤΙΚΟ ΣΧΟΛΕΙΟ ΜΟΥΡΙΚΙΟΥ</t>
  </si>
  <si>
    <t>mail@dim-anarr.koz.sch.gr</t>
  </si>
  <si>
    <t>Αναρράχη - Εμπόριο</t>
  </si>
  <si>
    <t>ΑΝΑΡΡΑΧΗ-ΕΜΠΟΡΙΟ</t>
  </si>
  <si>
    <t>ΔΗΜΟΤΙΚΟ ΣΧΟΛΕΙΟ ΟΛΥΜΠΙΑΔΑΣ ΚΟΖΑΝΗΣ</t>
  </si>
  <si>
    <t>mail@dim-olymp.koz.sch.gr</t>
  </si>
  <si>
    <t>ΟΛΥΜΠΙΑΔΑ - ΕΟΡΔΑΙΑΣ</t>
  </si>
  <si>
    <t>ΟΛΥΜΠΙΑΔΑ</t>
  </si>
  <si>
    <t>1ο ΔΗΜΟΤΙΚΟ ΣΧΟΛΕΙΟ ΒΕΡΜΙΟΥ</t>
  </si>
  <si>
    <t>mail@dim-komnin.koz.sch.gr</t>
  </si>
  <si>
    <t>ΕΟΡΔΑΙΑ</t>
  </si>
  <si>
    <t>ΚΟΜΝΗΝΑ</t>
  </si>
  <si>
    <t>ΔΗΜΟΤΙΚΟ ΣΧΟΛΕΙΟ ΑΚΡΙΝΗΣ</t>
  </si>
  <si>
    <t>mail@dim-akrin.koz.sch.gr</t>
  </si>
  <si>
    <t>ΑΚΡΙΝΗ</t>
  </si>
  <si>
    <t>ΑΚΡΙΝΗ ΚΟΖΑΝΗΣ</t>
  </si>
  <si>
    <t>3ο ΔΗΜΟΤΙΚΟ ΣΧΟΛΕΙΟ ΠΤΟΛΕΜΑΪΔΑΣ</t>
  </si>
  <si>
    <t>mail@3dim-ptolem.koz.sch.gr</t>
  </si>
  <si>
    <t>ΣΜΥΡΝΗΣ 63</t>
  </si>
  <si>
    <t>4ο ΔΗΜΟΤΙΚΟ ΣΧΟΛΕΙΟ ΠΤΟΛΕΜΑΪΔΑΣ</t>
  </si>
  <si>
    <t>mail@4dim-ptolem.koz.sch.gr</t>
  </si>
  <si>
    <t>ΝΟΣΟΚΟΜΕΙΟΥ 33</t>
  </si>
  <si>
    <t>5ο  ΔΗΜΟΤΙΚΟ ΣΧΟΛΕΙΟ ΠΤΟΛΕΜΑΪΔΑΣ</t>
  </si>
  <si>
    <t>mail@5dim-ptolem.koz.sch.gr</t>
  </si>
  <si>
    <t>ΔΗΜΟΚΡΑΤΙΑΣ 1</t>
  </si>
  <si>
    <t>12ο ΝΗΠΙΑΓΩΓΕΙΟ ΠΤΟΛΕΜΑΪΔΑΣ</t>
  </si>
  <si>
    <t>mail@12nip-ptolem.koz.sch.gr</t>
  </si>
  <si>
    <t>ΟΙΚΙΣΜΟΣ ΚΑΡΔΙΑΣ</t>
  </si>
  <si>
    <t>7ο ΔΗΜΟΤΙΚΟ ΣΧΟΛΕΙΟ ΠΤΟΛΕΜΑΪΔΑΣ</t>
  </si>
  <si>
    <t>mail@7dim-ptolem.koz.sch.gr</t>
  </si>
  <si>
    <t>ΡΗΓΑ ΦΕΡΑΙΟΥ 12</t>
  </si>
  <si>
    <t>8ο ΔΗΜΟΤΙΚΟ ΣΧΟΛΕΙΟ ΠΤΟΛΕΜΑΪΔΑΣ</t>
  </si>
  <si>
    <t>mail@8dim-ptolem.koz.sch.gr</t>
  </si>
  <si>
    <t>ΤΕΡΜΑ Μ. ΑΣΙΑΣ</t>
  </si>
  <si>
    <t>9ο ΔΗΜΟΤΙΚΟ ΣΧΟΛΕΙΟ ΠΤΟΛΕΜΑΪΔΑΣ</t>
  </si>
  <si>
    <t>mail@9dim-ptolem.koz.sch.gr</t>
  </si>
  <si>
    <t>ΚΑΡΑΖΑΝΟΥ 3</t>
  </si>
  <si>
    <t>10ο ΔΗΜΟΤΙΚΟ ΣΧΟΛΕΙΟ ΠΤΟΛΕΜΑΪΔΑΣ</t>
  </si>
  <si>
    <t>10dimpto@sch.gr</t>
  </si>
  <si>
    <t>ΚΕΠΤΣΕ</t>
  </si>
  <si>
    <t>6ο ΔΗΜΟΤΙΚΟ ΣΧΟΛΕΙΟ ΠΤΟΛΕΜΑΪΔΑΣ</t>
  </si>
  <si>
    <t>mail@6dim-ptolem.koz.sch.gr</t>
  </si>
  <si>
    <t>ΔΗΜΟΚΡΑΤΙΑΣ 2</t>
  </si>
  <si>
    <t>11ο ΔΗΜΟΤΙΚΟ ΣΧΟΛΕΙΟ ΠΤΟΛΕΜΑΪΔΑΣ</t>
  </si>
  <si>
    <t>mail@11dim-ptolem.koz.sch.gr</t>
  </si>
  <si>
    <t>ΜΕΣΟΥΠΟΛΕΩΣ 72</t>
  </si>
  <si>
    <t>12ο ΔΗΜΟΤΙΚΟ ΣΧΟΛΕΙΟ ΠΤΟΛΕΜΑΪΔΑΣ</t>
  </si>
  <si>
    <t>mail@12dim-ptolem.koz.sch.gr</t>
  </si>
  <si>
    <t>1ο ΔΗΜΟΤΙΚΟ ΣΧΟΛΕΙΟ ΠΤΟΛΕΜΑΪΔΑΣ</t>
  </si>
  <si>
    <t>mail@1dim-ptolem.koz.sch.gr</t>
  </si>
  <si>
    <t>ΠΑΥΛΙΔΗ - ΑΔΑΜΟΠΟΥΛΟΥ 1</t>
  </si>
  <si>
    <t>ΔΗΜΟΤΙΚΟ ΣΧΟΛΕΙΟ "ΧΑΡΙΣΙΟΣ ΜΕΓΔΑΝΗΣ" ΚΟΖΑΝΗΣ</t>
  </si>
  <si>
    <t>mail@14dim-kozan.koz.sch.gr</t>
  </si>
  <si>
    <t>ΔΗΜΟΤΙΚΟ ΣΧΟΛΕΙΟ ΝΕΑΠΟΛΗΣ ΚΟΖΑΝΗΣ</t>
  </si>
  <si>
    <t>mail@dim-neapol.koz.sch.gr</t>
  </si>
  <si>
    <t>ΣΧΟΛΕΙΟΥ  1</t>
  </si>
  <si>
    <t>ΔΗΜΟΤΙΚΟ ΣΧΟΛΕΙΟ ΚΟΖΑΝΗΣ "ΧΑΡΙΣΙΟΣ ΜΟΥΚΑΣ"</t>
  </si>
  <si>
    <t>mail@dim-kozan.koz.sch.gr</t>
  </si>
  <si>
    <t>Κοζάνη,</t>
  </si>
  <si>
    <t>ΚΟΒΕΝΤΑΡΩΝ 14</t>
  </si>
  <si>
    <t>18ο ΔΗΜΟΤΙΚΟ ΣΧΟΛΕΙΟ ΚΟΖΑΝΗΣ</t>
  </si>
  <si>
    <t>mail@18dim-kozan.koz.sch.gr</t>
  </si>
  <si>
    <t>ΙΩΝΙΑΣ ΚΑΙ ΑΝΤΙΓΟΝΟΥ</t>
  </si>
  <si>
    <t>19ο ΔΗΜΟΤΙΚΟ ΣΧΟΛΕΙΟ ΚΟΖΑΝΗΣ</t>
  </si>
  <si>
    <t>mail@19dim-kozan.koz.sch.gr</t>
  </si>
  <si>
    <t>ΑΠΟΛΛΩΝΙΟΥ ΠΕΡΓΑΙΟΥ ΖΕΠ ΚΟΖΑΝΗΣ</t>
  </si>
  <si>
    <t>22ο ΝΗΠΙΑΓΩΓΕΙΟ ΚΟΖΑΝΗ</t>
  </si>
  <si>
    <t>mail@22nip-kozan.koz.sch.gr</t>
  </si>
  <si>
    <t>ΖΕΠ</t>
  </si>
  <si>
    <t>Π.Ε. ΦΛΩΡΙΝΑΣ</t>
  </si>
  <si>
    <t>5ο ΝΗΠΙΑΓΩΓΕΙΟ ΦΛΩΡΙΝΑΣ</t>
  </si>
  <si>
    <t>mail@5nip-florin.flo.sch.gr</t>
  </si>
  <si>
    <t>ΦΛΩΡΙΝΑΣ</t>
  </si>
  <si>
    <t>ΦΛΩΡΙΝΑ</t>
  </si>
  <si>
    <t>ΚΟΝΤΟΠΟΥΛΟΥ 16</t>
  </si>
  <si>
    <t>3ο ΔΗΜΟΤΙΚΟ ΣΧΟΛΕΙΟ ΦΛΩΡΙΝΑΣ</t>
  </si>
  <si>
    <t>3dimflorin@sch.gr</t>
  </si>
  <si>
    <t>ΜΟΡΙΧΟΒΟΥ 2</t>
  </si>
  <si>
    <t>2ο  ΔΗΜΟΤΙΚΟ ΣΧΟΛΕΙΟ ΑΜΥΝΤΑΙΟΥ</t>
  </si>
  <si>
    <t>mail@2dim-amynt.flo.sch.gr</t>
  </si>
  <si>
    <t>ΑΜΥΝΤΑΙΟΥ</t>
  </si>
  <si>
    <t>ΑΜΥΝΤΑΙΟ</t>
  </si>
  <si>
    <t>ΑΝΑΛΗΨΕΩΣ 2</t>
  </si>
  <si>
    <t>3ο  ΝΗΠΙΑΓΩΓΕΙΟ ΦΛΩΡΙΝΑΣ</t>
  </si>
  <si>
    <t>mail@3nip-florin.flo.sch.gr</t>
  </si>
  <si>
    <t>5ο ΔΗΜΟΤΙΚΟ ΣΧΟΛΕΙΟ ΦΛΩΡΙΝΑΣ "ΘΕΟΔΩΡΟΣ ΚΑΣΤΑΝΟΣ"</t>
  </si>
  <si>
    <t>mail@5dim-florin.flo.sch.gr</t>
  </si>
  <si>
    <t>ΚΟΝΤΟΠΟΥΛΟΥ 18</t>
  </si>
  <si>
    <t>6ο  ΝΗΠΙΑΓΩΓΕΙΟ ΦΛΩΡΙΝΑΣ</t>
  </si>
  <si>
    <t>mail@6nip-florin.flo.sch.gr</t>
  </si>
  <si>
    <t>Ι. ΚΑΡΑΒΙΤΗ 38</t>
  </si>
  <si>
    <t>ΔΗΜΟΤΙΚΟ ΣΧΟΛΕΙΟ ΑΕΤΟΥ ΦΛΩΡΙΝΑΣ</t>
  </si>
  <si>
    <t>mail@dim-aetou.flo.sch.gr</t>
  </si>
  <si>
    <t>ΑΕΤΟΣ</t>
  </si>
  <si>
    <t>1ο ΔΗΜΟΤΙΚΟ ΣΧΟΛΕΙΟ ΦΛΩΡΙΝΑΣ</t>
  </si>
  <si>
    <t>mail@1dim-florin.flo.sch.gr</t>
  </si>
  <si>
    <t>ΕΛΕΥΘΕΡΙΑΣ 9</t>
  </si>
  <si>
    <t>1ο ΔΗΜΟΤΙΚΟ ΣΧΟΛΕΙΟ ΑΜΥΝΤΑΙΟΥ</t>
  </si>
  <si>
    <t>mail@1dim-amynt.flo.sch.gr</t>
  </si>
  <si>
    <t>ΠΑΡΟΔΟΣ ΓΥΜΝΑΣΤΗΡΙΟΥ</t>
  </si>
  <si>
    <t>ΔΗΜΟΤΙΚΟ ΣΧΟΛΕΙΟ ΑΜΜΟΧΩΡΙΟΥ</t>
  </si>
  <si>
    <t>mail@dim-ammoch.flo.sch.gr</t>
  </si>
  <si>
    <t>ΑΜΜΟΧΩΡΙ</t>
  </si>
  <si>
    <t>8ο ΝΗΠΙΑΓΩΓΕΙΟ ΦΛΩΡΙΝΑΣ</t>
  </si>
  <si>
    <t>mail@8nip-florin.flo.sch.gr</t>
  </si>
  <si>
    <t>ΜΟΝΑΣΤΗΡΙΟΥ 80</t>
  </si>
  <si>
    <t>1ο ΝΗΠΙΑΓΩΓΕΙΟ ΑΜΥΝΤΑΙΟΥ</t>
  </si>
  <si>
    <t>mail@1nip-amynt.flo.sch.gr</t>
  </si>
  <si>
    <t>ΠΑΡΟΔΟΣ ΓΥΜΝΑΣΤΗΡΙΟΥ 1</t>
  </si>
  <si>
    <t>1ο ΝΗΠΙΑΓΩΓΕΙΟ ΦΛΩΡΙΝΑΣ</t>
  </si>
  <si>
    <t>mail@1nip-florin.flo.sch.gr</t>
  </si>
  <si>
    <t>ΔΗΜΟΤΙΚΟ ΣΧΟΛΕΙΟ ΙΤΕΑΣ ΦΛΩΡΙΝΑΣ</t>
  </si>
  <si>
    <t>mail@dim-iteas.flo.sch.gr</t>
  </si>
  <si>
    <t>ΙΤΕΑ</t>
  </si>
  <si>
    <t>ΠΕΙΡΑΜΑΤΙΚΟ ΔΗΜΟΤΙΚΟ ΣΧΟΛΕΙΟ ΦΛΩΡΙΝΑΣ</t>
  </si>
  <si>
    <t>mail@2dim-peir-florin.flo.sch.gr</t>
  </si>
  <si>
    <t>ΣΑΛΑΜΙΝΟΣ ΤΕΡΜΑ</t>
  </si>
  <si>
    <t>ΔΗΜΟΤΙΚΟ ΣΧΟΛΕΙΟ ΦΙΛΩΤΑ</t>
  </si>
  <si>
    <t>mail@dim-filot.flo.sch.gr</t>
  </si>
  <si>
    <t>ΦΙΛΩΤΑΣ</t>
  </si>
  <si>
    <t>ΤΡΙΩΝ ΙΕΡΑΡΧΩΝ 3</t>
  </si>
  <si>
    <t>ΔΗΜΟΤΙΚΟ ΣΧΟΛΕΙΟ ΥΔΡΟΥΣΑΣ</t>
  </si>
  <si>
    <t>mail@dim-kat-ydrous.flo.sch.gr</t>
  </si>
  <si>
    <t>ΥΔΡΟΥΣΑ</t>
  </si>
  <si>
    <t>ΔΗΜΟΤΙΚΟ ΣΧΟΛΕΙΟ ΜΕΛΙΤΗΣ ΦΛΩΡΙΝΑΣ</t>
  </si>
  <si>
    <t>mail@dim-melit.flo.sch.gr</t>
  </si>
  <si>
    <t>ΜΕΛΙΤΗ</t>
  </si>
  <si>
    <t>ΔΗΜΟΤΙΚΟ ΣΧΟΛΕΙΟ ΑΡΜΕΝΟΧΩΡΙΟΥ</t>
  </si>
  <si>
    <t>mail@dim-armen.flo.sch.gr</t>
  </si>
  <si>
    <t>ΑΡΜΕΝΟΧΩΡΙ</t>
  </si>
  <si>
    <t>3ο ΔΗΜΟΤΙΚΟ ΣΧΟΛΕΙΟ ΑΜΥΝΤΑΙΟΥ</t>
  </si>
  <si>
    <t>mail@3dim-amynt.flo.sch.gr</t>
  </si>
  <si>
    <t>ΝΟΤΙΟΣ  ΠΕΡΙΦΕΡΕΙΑΚΟΣ</t>
  </si>
  <si>
    <t>ΔΗΜΟΤΙΚΟ ΣΧΟΛΕΙΟ ΑΓΙΟΥ ΓΕΡΜΑΝΟΥ</t>
  </si>
  <si>
    <t>mail@dim-ag-german.flo.sch.gr</t>
  </si>
  <si>
    <t>ΠΡΕΣΠΩΝ</t>
  </si>
  <si>
    <t>ΑΓΙΟΣ ΓΕΡΜΑΝΟΣ</t>
  </si>
  <si>
    <t>6ο  ΔΗΜΟΤΙΚΟ ΣΧΟΛΕΙΟ ΦΛΩΡΙΝΑΣ "ΙΩΝ ΔΡΑΓΟΥΜΗΣ"</t>
  </si>
  <si>
    <t>mail@1dim-peir-florin.flo.sch.gr</t>
  </si>
  <si>
    <t>ΑΡΙΣΤΟΤΕΛΟΥΣ 1</t>
  </si>
  <si>
    <t>2ο ΔΗΜΟΤΙΚΟ ΣΧΟΛΕΙΟ ΦΛΩΡΙΝΑΣ</t>
  </si>
  <si>
    <t>mail@2dim-florin.flo.sch.gr</t>
  </si>
  <si>
    <t>Λ. ΕΛΕΥΘΕΡΙΑΣ 9</t>
  </si>
  <si>
    <t>ΗΠΕΙΡΟΥ</t>
  </si>
  <si>
    <t>Π.Ε. ΑΡΤΑΣ</t>
  </si>
  <si>
    <t>10ο  ΝΗΠΙΑΓΩΓΕΙΟ ΑΡΤΑΣ</t>
  </si>
  <si>
    <t>mail@10nip-artas.art.sch.gr</t>
  </si>
  <si>
    <t>ΑΡΤΑΙΩΝ</t>
  </si>
  <si>
    <t>ΑΡΤΑ</t>
  </si>
  <si>
    <t>Φιλελλήνων 16</t>
  </si>
  <si>
    <t>11ο ΝΗΠΙΑΓΩΓΕΙΟ ΑΡΤΑΣ</t>
  </si>
  <si>
    <t>mail@11nip-artas.art.sch.gr</t>
  </si>
  <si>
    <t>ΙΠΠΟΚΡΑΤΟΥΣ</t>
  </si>
  <si>
    <t>ΝΗΠΙΑΓΩΓΕΙΟ ΚΟΜΠΟΤΙΟΥ</t>
  </si>
  <si>
    <t>mail@nip-kompot.art.sch.gr</t>
  </si>
  <si>
    <t>ΝΙΚΟΛΑΟΥ ΣΚΟΥΦΑ</t>
  </si>
  <si>
    <t>ΚΟΜΠΟΤΙ</t>
  </si>
  <si>
    <t>9ο ΔΗΜΟΤΙΚΟ ΣΧΟΛΕΙΟ ΑΡΤΑΣ</t>
  </si>
  <si>
    <t>mail@9dim-artas.art.sch.gr</t>
  </si>
  <si>
    <t>ΤΕΡΜΑ ΑΝΕΜΟΜΥΛΩΝ</t>
  </si>
  <si>
    <t>ΔΗΜΟΤΙΚΟ ΣΧΟΛΕΙΟ  ΑΓΙΟΥ ΣΠΥΡΙΔΩΝΑ</t>
  </si>
  <si>
    <t>mail@dim-ag-spyrid.art.sch.gr</t>
  </si>
  <si>
    <t>ΑΓΙΟΣ ΣΠΥΡΙΔΩΝΑΣ</t>
  </si>
  <si>
    <t>3ο ΔΗΜΟΤΙΚΟ ΣΧΟΛΕΙΟ ΑΡΤΑΣ</t>
  </si>
  <si>
    <t>mail@3dim-artas.art.sch.gr</t>
  </si>
  <si>
    <t>3/40 ΣΥΝΤΑΓΜΑ ΕΥΖΩΝΩΝ 32</t>
  </si>
  <si>
    <t>3ο ΝΗΠΙΑΓΩΓΕΙΟ ΑΡΤΑΣ</t>
  </si>
  <si>
    <t>mail@3nip-artas.art.sch.gr</t>
  </si>
  <si>
    <t>Αντ. Γαρουφαλιά 6</t>
  </si>
  <si>
    <t>8ο ΝΗΠΙΑΓΩΓΕΙΟ ΑΡΤΑΣ</t>
  </si>
  <si>
    <t>mail@8nip-artas.art.sch.gr</t>
  </si>
  <si>
    <t>Γ.ΓΕΝΝΗΜΑΤΑ</t>
  </si>
  <si>
    <t>12ο ΝΗΠΙΑΓΩΓΕΙΟ ΑΡΤΑΣ</t>
  </si>
  <si>
    <t>mail@12nip-artas.art.sch.gr</t>
  </si>
  <si>
    <t>ΣΤΡΑΤΩΝΟΣ</t>
  </si>
  <si>
    <t>6ο ΔΗΜΟΤΙΚΟ ΣΧΟΛΕΙΟ ΑΡΤΑΣ</t>
  </si>
  <si>
    <t>mail@6dim-artas.art.sch.gr</t>
  </si>
  <si>
    <t>ΔΗΜΟΤΙΚΟ ΣΧΟΛΕΙΟ ΓΡΑΜΜΕΝΙΤΣΑΣ</t>
  </si>
  <si>
    <t>dimgramn@sch.gr</t>
  </si>
  <si>
    <t>ΓΡΑΜΜΕΝΙΤΣΑ</t>
  </si>
  <si>
    <t>ΓΡΑΜΜΕΝΙΤΣΑ  ΑΡΤΑΣ</t>
  </si>
  <si>
    <t>ΔΗΜΟΤΙΚΟ ΣΧΟΛΕΙΟ ΑΝΕΖΑΣ</t>
  </si>
  <si>
    <t>mail@dim-anezas.art.sch.gr</t>
  </si>
  <si>
    <t>ΑΝΕΖΑ ΑΡΤΑΣ</t>
  </si>
  <si>
    <t>ΑΝΕΖΑ</t>
  </si>
  <si>
    <t>ΔΗΜΟΤΙΚΟ ΣΧΟΛΕΙΟ ΕΛΕΟΥΣΑΣ ΑΡΤΑΣ</t>
  </si>
  <si>
    <t>mail@dim-eleous.art.sch.gr</t>
  </si>
  <si>
    <t>ΕΛΕΟΥΣΑ  ΑΡΤΑΣ</t>
  </si>
  <si>
    <t>ΜΟΣΧΟΠΟΛΕΩΣ 1</t>
  </si>
  <si>
    <t>5ο ΔΗΜΟΤΙΚΟ ΣΧΟΛΕΙΟ ΑΡΤΑΣ</t>
  </si>
  <si>
    <t>mail@5dim-artas.art.sch.gr</t>
  </si>
  <si>
    <t>4ο ΝΗΠΙΑΓΩΓΕΙΟ ΑΡΤΑΣ</t>
  </si>
  <si>
    <t>mail@4nip-artas.art.sch.gr</t>
  </si>
  <si>
    <t>ΠΛΑΤΕΙΑ ΚΑΡΑΙΣΚΑΚΗ</t>
  </si>
  <si>
    <t>1ο ΔΗΜΟΤΙΚΟ ΣΧΟΛΕΙΟ ΑΡΤΑΣ</t>
  </si>
  <si>
    <t>mail@1dim-artas.art.sch.gr</t>
  </si>
  <si>
    <t>ΣΚΟΥΦΑ 156</t>
  </si>
  <si>
    <t>ΔΗΜΟΤΙΚΟ ΣΧΟΛΕΙΟ ΑΓΙΩΝ ΑΝΑΡΓΥΡΩΝ ΑΡΤΑΣ</t>
  </si>
  <si>
    <t>mail@dim-ag-anarg.art.sch.gr</t>
  </si>
  <si>
    <t xml:space="preserve">ΑΓΙΟΙ ΑΝΑΡΓΥΡΟΙ </t>
  </si>
  <si>
    <t>ΑΓΙΟΙ ΑΝΑΡΓΥΡΟΙ ΑΡΤΑΣ</t>
  </si>
  <si>
    <t>8ο ΔΗΜΟΤΙΚΟ ΣΧΟΛΕΙΟ ΑΡΤΑΣ</t>
  </si>
  <si>
    <t>mail@8dim-artas.art.sch.gr</t>
  </si>
  <si>
    <t>ΠΕΡΙΦΕΡΕΙΑΚΗ  ΟΔΟΣ-έναντι Δημαρχείου Άρτας</t>
  </si>
  <si>
    <t>ΔΗΜΟΤΙΚΟ ΣΧΟΛΕΙΟ ΚΟΜΠΟΤΙΟΥ</t>
  </si>
  <si>
    <t>mail@dim-kompot.art.sch.gr</t>
  </si>
  <si>
    <t>7ο ΔΗΜΟΤΙΚΟ ΣΧΟΛΕΙΟ ΑΡΤΑΣ</t>
  </si>
  <si>
    <t>mail@7dim-artas.art.sch.gr</t>
  </si>
  <si>
    <t>ΜΙΧΑΗΛ ΠΑΤΣΑΛΙΑ  5</t>
  </si>
  <si>
    <t>ΔΗΜΟΤΙΚΟ ΣΧΟΛΕΙΟ ΧΑΛΚΙΑΔΩΝ</t>
  </si>
  <si>
    <t>mail@dim-chalk.art.sch.gr</t>
  </si>
  <si>
    <t>ΧΑΛΚΙΑΔΕΣ</t>
  </si>
  <si>
    <t>5ο ΝΗΠΙΑΓΩΓΕΙΟ ΑΡΤΑΣ</t>
  </si>
  <si>
    <t>mail@5nip-artas.art.sch.gr</t>
  </si>
  <si>
    <t>ΑΡΤΙΝΩΝ  ΠΕΣΟΝΤΩΝ</t>
  </si>
  <si>
    <t>ΔΗΜΟΤΙΚΟ ΣΧΟΛΕΙΟ ΚΩΣΤΑΚΙΩΝ</t>
  </si>
  <si>
    <t>mail@dim-kostak.art.sch.gr</t>
  </si>
  <si>
    <t>ΚΩΣΤΑΚΙΟΙ</t>
  </si>
  <si>
    <t>ΚΩΣΤΑΚΙΟΙ-ΑΡΤΑΣ</t>
  </si>
  <si>
    <t>ΔΗΜΟΤΙΚΟ ΣΧΟΛΕΙΟ ΚΑΛΑΜΙΑΣ</t>
  </si>
  <si>
    <t>mail@dim-kalam.art.sch.gr</t>
  </si>
  <si>
    <t>ΚΑΛΑΜΙΑ</t>
  </si>
  <si>
    <t>ΔΗΜΟΤΙΚΟ ΣΧΟΛΕΙΟ ΠΕΤΑ</t>
  </si>
  <si>
    <t>mail@dim-peta.art.sch.gr</t>
  </si>
  <si>
    <t>ΠΕΤΑ</t>
  </si>
  <si>
    <t>ΔΗΜΟΤΙΚΟ ΣΧΟΛΕΙΟ ΑΓΙΑΣ ΠΑΡΑΣΚΕΥΗΣ ΑΡΤΑΣ</t>
  </si>
  <si>
    <t>mail@dim-ag-parask.art.sch.gr</t>
  </si>
  <si>
    <t>ΑΓΙΑ ΠΑΡΑΣΚΕΥΗ ΑΡΤΑΣ</t>
  </si>
  <si>
    <t>ΑΓΙΑ  ΠΑΡΑΣΚΕΥΗ  ΑΡΤΑΣ</t>
  </si>
  <si>
    <t>ΔΗΜΟΤΙΚΟ ΣΧΟΛΕΙΟ ΑΝΩ ΚΑΛΕΝΤΙΝΗΣ</t>
  </si>
  <si>
    <t>mail@dim-an-kalent.art.sch.gr</t>
  </si>
  <si>
    <t>ΓΕΩΡΓΙΟΥ ΚΑΡΑΪΣΚΑΚΗ</t>
  </si>
  <si>
    <t>ΑΝΩ ΚΑΛΕΝΤΙΝΗ</t>
  </si>
  <si>
    <t>ΝΗΠΙΑΓΩΓΕΙΟ ΚΩΣΤΑΚΙΟΙ ΑΡΤΑΣ</t>
  </si>
  <si>
    <t>mail@nip-kostak.art.sch.gr</t>
  </si>
  <si>
    <t>2ο ΔΗΜΟΤΙΚΟ ΣΧΟΛΕΙΟ ΑΡΤΑΣ</t>
  </si>
  <si>
    <t>mail@2dim-artas.art.sch.gr</t>
  </si>
  <si>
    <t>ΠΛΑΤΕΙΑ ΩΡΟΛΟΓΙΟΥ</t>
  </si>
  <si>
    <t>4ο ΔΗΜΟΤΙΚΟ ΣΧΟΛΕΙΟ ΑΡΤΑΣ</t>
  </si>
  <si>
    <t>mail@4dim-artas.art.sch.gr</t>
  </si>
  <si>
    <t>ΠΛΑΤΕΙΑ ΚΑΡΑΪΣΚΑΚΗ</t>
  </si>
  <si>
    <t>6ο ΝΗΠΙΑΓΩΓΕΙΟ ΑΡΤΑΣ</t>
  </si>
  <si>
    <t>mail@6nip-artas.art.sch.gr</t>
  </si>
  <si>
    <t>ΠΑΠΑΒΑΣΙΛΕΙΟΥ  16</t>
  </si>
  <si>
    <t>ΔΗΜΟΤΙΚΟ ΣΧΟΛΕΙΟ ΑΓΙΟΥ ΔΗΜΗΤΡΙΟΥ - ΠΕΤΑ</t>
  </si>
  <si>
    <t>mail@dim-ag-dimitr.art.sch.gr</t>
  </si>
  <si>
    <t>ΑΓΙΟΣ ΔΗΜΗΤΡΙΟΣ - ΠΕΤΑ</t>
  </si>
  <si>
    <t>ΔΗΜΟΤΙΚΟ ΣΧΟΛΕΙΟ ΝΕΟΧΩΡΙΟΥ ΑΡΤΑΣ</t>
  </si>
  <si>
    <t>mail@dim-neoch.art.sch.gr</t>
  </si>
  <si>
    <t xml:space="preserve">Νεοχώρι </t>
  </si>
  <si>
    <t>Νεοχώρι Άρτας</t>
  </si>
  <si>
    <t>Π.Ε. ΘΕΣΠΡΩΤΙΑΣ</t>
  </si>
  <si>
    <t>5ο ΝΗΠΙΑΓΩΓΕΙΟ ΗΓΟΥΜΕΝΙΤΣΑΣ</t>
  </si>
  <si>
    <t>mail@5nip-igoum.thesp.sch.gr</t>
  </si>
  <si>
    <t>ΗΓΟΥΜΕΝΙΤΣΑΣ</t>
  </si>
  <si>
    <t>ΤΣΑΚΑΛΩΦ 12</t>
  </si>
  <si>
    <t>3ο ΝΗΠΙΑΓΩΓΕΙΟ ΗΓΟΥΜΕΝΙΤΣΑΣ</t>
  </si>
  <si>
    <t>mail@3nip-igoum.thesp.sch.gr</t>
  </si>
  <si>
    <t>Ηγουμενίτσα</t>
  </si>
  <si>
    <t>Οικ. Εθν. Αντ/σεως - οδός Αγ. Σοφίας</t>
  </si>
  <si>
    <t>1ο ΝΗΠΙΑΓΩΓΕΙΟ ΝΕΑΣ ΣΕΛΕΥΚΕΙΑΣ</t>
  </si>
  <si>
    <t>mail@1nip-n-selefk.thesp.sch.gr</t>
  </si>
  <si>
    <t>ΝΕΑΣ ΣΕΛΕΥΚΕΙΑΣ</t>
  </si>
  <si>
    <t>ΝΕΑ ΣΕΛΕΥΚΕΙΑ</t>
  </si>
  <si>
    <t>1ο ΔΗΜΟΤΙΚΟ ΣΧΟΛΕΙΟ ΦΙΛΙΑΤΩΝ - ΚΩΝΣΤΑΝΤΙΝΟΣ ΖΑΠΠΑΣ</t>
  </si>
  <si>
    <t>mail@1dim-filiat.thesp.sch.gr</t>
  </si>
  <si>
    <t>ΦΙΛΙΑΤΩΝ</t>
  </si>
  <si>
    <t>ΦΙΛΙΑΤΕΣ</t>
  </si>
  <si>
    <t>ΖΑΠΠΑ 9</t>
  </si>
  <si>
    <t>1ο  ΔΗΜΟΤΙΚΟ ΣΧΟΛΕΙΟ ΗΓΟΥΜΕΝΙΤΣΑΣ</t>
  </si>
  <si>
    <t>mail@1dim-igoum.thesp.sch.gr</t>
  </si>
  <si>
    <t>ΗΓΟΥΜΕΝΙΤΣΑ</t>
  </si>
  <si>
    <t>ΠΑΡΟΔΟΣ ΛΟΡΔΟΥ ΒΥΡΩΝΑ 2</t>
  </si>
  <si>
    <t>3ο  ΔΗΜΟΤΙΚΟ ΣΧΟΛΕΙΟ ΗΓΟΥΜΕΝΙΤΣΑΣ</t>
  </si>
  <si>
    <t>mail@3dim-igoum.thesp.sch.gr</t>
  </si>
  <si>
    <t>ΚΟΥΓΚΙΟΥ-ΚΙΑΦΑΣ 55</t>
  </si>
  <si>
    <t>1ο 2/Θ ΝΗΠΙΑΓΩΓΕΙΟ ΗΓΟΥΜΕΝΙΤΣΑΣ</t>
  </si>
  <si>
    <t>mail@1nip-igoum.thesp.sch.gr</t>
  </si>
  <si>
    <t>ΕΛΒΕΤΙΚΑ</t>
  </si>
  <si>
    <t>2ο ΝΗΠΙΑΓΩΓΕΙΟ ΠΑΡΑΜΥΘΙΑΣ</t>
  </si>
  <si>
    <t>mail@2nip-param.thesp.sch.gr</t>
  </si>
  <si>
    <t>ΣΟΥΛΙΟΥ</t>
  </si>
  <si>
    <t>ΠΑΡΑΜΥΘΙΑΣ</t>
  </si>
  <si>
    <t>ΑΓΙΟΥ ΔΟΝΑΤΟΥ</t>
  </si>
  <si>
    <t>ΔΗΜΟΤΙΚΟ ΣΧΟΛΕΙΟ ΠΛΑΤΑΡΙΑΣ - Δ.Σ.ΠΛΑΤΑΡΙΑΣ</t>
  </si>
  <si>
    <t>mail@dim-platar.thesp.sch.gr</t>
  </si>
  <si>
    <t>ΠΛΑΤΑΡΙΑ</t>
  </si>
  <si>
    <t>ΕΠΤΑΝΗΣΟΥ 15 ΠΛΑΤΑΡΙΑ - ΘΕΣΠΡΩΤΙΑΣ</t>
  </si>
  <si>
    <t>9/Θ  ΔΗΜΟΤΙΚΟ ΣΧΟΛΕΙΟ ΓΡΑΙΚΟΧΩΡΙΟΥ</t>
  </si>
  <si>
    <t>mail@dim-graik.thesp.sch.gr</t>
  </si>
  <si>
    <t>ΓΡΑΙΚΟΧΩΡΙ ΗΓΟΥΜΕΝΙΤΣΑΣ</t>
  </si>
  <si>
    <t>ΑΓΙΟΥ ΔΗΜΗΤΡΙΟΥ 24</t>
  </si>
  <si>
    <t>ΔΗΜΟΤΙΚΟ ΣΧΟΛΕΙΟ ΝΕΑΣ ΣΕΛΕΥΚΕΙΑΣ</t>
  </si>
  <si>
    <t>mail@dim-n-selefk.thesp.sch.gr</t>
  </si>
  <si>
    <t>ΝΕΑ ΣΕΛΕΥΚΕΙΑ ΘΕΣΠΡΩΤΙΑΣ</t>
  </si>
  <si>
    <t>4ο 12/ΘΕΣΙΟ ΔΗΜΟΤΙΚΟ ΣΧΟΛΕΙΟ ΗΓΟΥΜΕΝΙΤΣΑΣ</t>
  </si>
  <si>
    <t>mail@4dim-igoum.thesp.sch.gr</t>
  </si>
  <si>
    <t>ΔΗΜΟΤΙΚΟ ΣΧΟΛΕΙΟ ΣΥΒΟΤΩΝ</t>
  </si>
  <si>
    <t>mail@dim-syvot.thesp.sch.gr</t>
  </si>
  <si>
    <t>ΣΥΒΟΤΑ</t>
  </si>
  <si>
    <t>ΣΥΒΟΤΑ ΘΕΣΠΡΩΤΙΑΣ</t>
  </si>
  <si>
    <t>2ο ΔΗΜΟΤΙΚΟ ΣΧΟΛΕΙΟ ΗΓΟΥΜΕΝΙΤΣΑΣ</t>
  </si>
  <si>
    <t>mail@2dim-igoum.thesp.sch.gr</t>
  </si>
  <si>
    <t>ΑΓΙΩΝ ΑΠΟΣΤΟΛΩΝ 25</t>
  </si>
  <si>
    <t>6/ΘΕΣΙΟ ΔΗΜΟΤΙΚΟ ΣΧΟΛΕΙΟ ΠΕΡΔΙΚΑΣ</t>
  </si>
  <si>
    <t>mail@dim-perdik.thesp.sch.gr</t>
  </si>
  <si>
    <t>ΠΕΡΔΙΚΑ</t>
  </si>
  <si>
    <t>ΠΕΡΔΙΚΑ ΘΕΣΠΡΩΤΙΑΣ</t>
  </si>
  <si>
    <t>ΔΗΜΟΤΙΚΟ ΣΧΟΛΕΙΟ ΣΚΑΝΔΑΛΟΥ - ΓΑΡΔΙΚΙΟΥ</t>
  </si>
  <si>
    <t>mail@dim-skand.thesp.sch.gr</t>
  </si>
  <si>
    <t>ΓΑΡΔΙΚΙ</t>
  </si>
  <si>
    <t>2ο ΔΗΜΟΤΙΚΟ ΣΧΟΛΕΙΟ ΦΙΛΙΑΤΩΝ</t>
  </si>
  <si>
    <t>mail@2dim-filiat.thesp.sch.gr</t>
  </si>
  <si>
    <t>1ο ΔΗΜΟΤΙΚΟ ΣΧΟΛΕΙΟ ΠΑΡΑΜΥΘΙΑΣ</t>
  </si>
  <si>
    <t>mail@1dim-param.thesp.sch.gr</t>
  </si>
  <si>
    <t>ΠΑΡΑΜΥΘΙΑ</t>
  </si>
  <si>
    <t>ΤΑΜΠΟΥΡΙ-ΠΑΡΑΜΥΘΙΑΣ</t>
  </si>
  <si>
    <t>5ο ΔΗΜΟΤΙΚΟ ΣΧΟΛΕΙΟ ΗΓΟΥΜΕΝΙΤΣΑΣ</t>
  </si>
  <si>
    <t>mail@5dim-igoum.thesp.sch.gr</t>
  </si>
  <si>
    <t>ΟΙΚΙΣΜΟΣ ΕΘΝΙΚΗΣ ΑΝΤΙΣΤΑΣΗΣ</t>
  </si>
  <si>
    <t>Π.Ε. ΙΩΑΝΝΙΝΩΝ</t>
  </si>
  <si>
    <t>22ο ΝΗΠΙΑΓΩΓΕΙΟ ΙΩΑΝΝΙΝΩΝ</t>
  </si>
  <si>
    <t>mail@22nip-ioann.ioa.sch.gr</t>
  </si>
  <si>
    <t>ΙΩΑΝΝΙΤΩΝ</t>
  </si>
  <si>
    <t>ΙΩΑΝΝΙΝΩΝ</t>
  </si>
  <si>
    <t>ΜΑΡΙΑ ΚΑΛΛΑΣ 2</t>
  </si>
  <si>
    <t>14ο ΝΗΠΙΑΓΩΓΕΙΟ ΙΩΑΝΝΙΝΩΝ</t>
  </si>
  <si>
    <t>mail@14nip-ioann.ioa.sch.gr</t>
  </si>
  <si>
    <t>ΓΥΝΑΙΚΩΝ ΠΙΝΔΟΥ 17</t>
  </si>
  <si>
    <t>19ο ΝΗΠΙΑΓΩΓΕΙΟ ΙΩΑΝΝΙΝΩΝ</t>
  </si>
  <si>
    <t>mail@19nip-ioann.ioa.sch.gr</t>
  </si>
  <si>
    <t>ΒΟΡΕΙΟΥ ΗΠΕΙΡΟΥ 22</t>
  </si>
  <si>
    <t>2ο ΝΗΠΙΑΓΩΓΕΙΟ ΚΟΝΙΤΣΑΣ</t>
  </si>
  <si>
    <t>mail@2nip-konits.ioa.sch.gr</t>
  </si>
  <si>
    <t>ΚΟΝΙΤΣΑΣ</t>
  </si>
  <si>
    <t>ΚΟΝΙΤΣΑ</t>
  </si>
  <si>
    <t>1ο ΝΗΠΙΑΓΩΓΕΙΟ ΑΝΑΤΟΛΗΣ</t>
  </si>
  <si>
    <t>mail@1nip-anatol.ioa.sch.gr</t>
  </si>
  <si>
    <t>ΑΝΑΤΟΛΗΣ</t>
  </si>
  <si>
    <t>ΕΘΝΙΚΗΣ ΑΝΤΙΣΤΑΣΕΩΣ 22</t>
  </si>
  <si>
    <t>7ο ΔΗΜΟΤΙΚΟ ΣΧΟΛΕΙΟ ΙΩΑΝΝΙΝΩΝ - ΠΑΥΛΙΔΕΙΟΣ ΣΧΟΛΗ</t>
  </si>
  <si>
    <t>mail@7dim-ioann.ioa.sch.gr</t>
  </si>
  <si>
    <t>ΙΩΑΝΝΙΝΑ</t>
  </si>
  <si>
    <t>ΑΓΙΩΝ ΣΑΡΑΝΤΑ 3</t>
  </si>
  <si>
    <t>5ο ΝΗΠΙΑΓΩΓΕΙΟ ΙΩΑΝΝΙΝΩΝ</t>
  </si>
  <si>
    <t>mail@5nip-ioann.ioa.sch.gr</t>
  </si>
  <si>
    <t>ΚΑΛΙΑΦΑ 2</t>
  </si>
  <si>
    <t>4ο ΝΗΠΙΑΓΩΓΕΙΟ ΙΩΑΝΝΙΝΩΝ</t>
  </si>
  <si>
    <t>mail@4nip-ioann.ioa.sch.gr</t>
  </si>
  <si>
    <t>ΑΓ. ΣΑΡΑΝΤΑ 3</t>
  </si>
  <si>
    <t>13ο ΔΗΜΟΤΙΚΟ ΣΧΟΛΕΙΟ ΙΩΑΝΝΙΝΩΝ</t>
  </si>
  <si>
    <t>mail@13dim-ioann.ioa.sch.gr</t>
  </si>
  <si>
    <t>ΙΩΑΝΝΙΝA</t>
  </si>
  <si>
    <t>ΚΑΤΙΝΑΣ ΠΑΞΙΝΟΥ 28</t>
  </si>
  <si>
    <t>7ο ΝΗΠΙΑΓΩΓΕΙΟ ΙΩΑΝΝΙΝΩΝ</t>
  </si>
  <si>
    <t>mail@7nip-ioann.ioa.sch.gr</t>
  </si>
  <si>
    <t>ΚΕΡΚΥΡΑΣ</t>
  </si>
  <si>
    <t>5ο ΔΗΜΟΤΙΚΟ ΣΧΟΛΕΙΟ ΙΩΑΝΝΙΝΩΝ - ΒΑΛΑΝΕΙΟΣ ΣΧΟΛΗ</t>
  </si>
  <si>
    <t>mail@5dim-valan.ioa.sch.gr</t>
  </si>
  <si>
    <t>3ο ΝΗΠΙΑΓΩΓΕΙΟ ΑΝΑΤΟΛΗΣ</t>
  </si>
  <si>
    <t>mail@3nip-anatol.ioa.sch.gr</t>
  </si>
  <si>
    <t>Γ.ΜΥΛΩΝΑ  9</t>
  </si>
  <si>
    <t>ΝΗΠΙΑΓΩΓΕΙΟ ΠΕΔΙΝΗΣ</t>
  </si>
  <si>
    <t>mail@1nip-pedin.ioa.sch.gr</t>
  </si>
  <si>
    <t>ΠΕΔΙΝΗΣ ΙΩΑΝΝΙΝΩΝ</t>
  </si>
  <si>
    <t>ΑΝΔΡΕΑ ΠΑΠΑΝΔΡΕΟΥ 2</t>
  </si>
  <si>
    <t>ΝΗΠΙΑΓΩΓΕΙΟ ΣΤΑΥΡΑΚΙΟΥ</t>
  </si>
  <si>
    <t>mail@1nip-stavr.ioa.sch.gr</t>
  </si>
  <si>
    <t>ΣΤΑΥΡΑΚΙΟΥ</t>
  </si>
  <si>
    <t>ΣΤΑΥΡΑΚΙ</t>
  </si>
  <si>
    <t>ΝΗΠΙΑΓΩΓΕΙΟ ΒΟΥΝΟΠΛΑΓΙΑΣ</t>
  </si>
  <si>
    <t>mail@nip-vounopl.ioa.sch.gr</t>
  </si>
  <si>
    <t>ΖΙΤΣΑΣ</t>
  </si>
  <si>
    <t>ΒΟΥΝΟΠΛΑΓΙΑΣ</t>
  </si>
  <si>
    <t>ΒΟΥΝΟΠΛΑΓΙΑ</t>
  </si>
  <si>
    <t>25ο ΝΗΠΙΑΓΩΓΕΙΟ ΙΩΑΝΝΙΝΩΝ</t>
  </si>
  <si>
    <t>mail@25nip-ioann.ioa.sch.gr</t>
  </si>
  <si>
    <t>ΜΑΝΩΛΗ ΤΡΑΝΤΑΦΥΛΛΙΔΗ 29</t>
  </si>
  <si>
    <t>16ο ΔΗΜΟΤΙΚΟ ΣΧΟΛΕΙΟ ΙΩΑΝΝΙΝΩΝ</t>
  </si>
  <si>
    <t>mail@16dim-ioann.ioa.sch.gr</t>
  </si>
  <si>
    <t>Β. ΗΠΕΙΡΟΥ 22</t>
  </si>
  <si>
    <t>1ο ΔΗΜΟΤΙΚΟ ΣΧΟΛΕΙΟ ΙΩΑΝΝΙΝΩΝ</t>
  </si>
  <si>
    <t>mail@1dim-ioann.ioa.sch.gr</t>
  </si>
  <si>
    <t>Ιωάννινα</t>
  </si>
  <si>
    <t>ΠΑΠΑΖΟΓΛΟΥ 14</t>
  </si>
  <si>
    <t>ΔΗΜΟΤΙΚΟ ΣΧΟΛΕΙΟ ΠΕΡΑΜΑΤΟΣ ΙΩΑΝΝΙΝΩΝ</t>
  </si>
  <si>
    <t>dimperioa@sch.gr</t>
  </si>
  <si>
    <t>ΑΓΙΟΥ ΧΑΡΑΛΑΜΠΟΥΣ 3</t>
  </si>
  <si>
    <t>1ο ΝΗΠΙΑΓΩΓΕΙΟ ΙΩΑΝΝΙΝΩΝ - ΚΑΠΛΑΝΕΙΟΣ ΣΧΟΛΗ</t>
  </si>
  <si>
    <t>mail@1nip-ioann.ioa.sch.gr</t>
  </si>
  <si>
    <t>ΠΑΠΑΔΟΠΟΥΛΟΥ 10</t>
  </si>
  <si>
    <t>6ο ΝΗΠΙΑΓΩΓΕΙΟ ΙΩΑΝΝΙΝΩΝ</t>
  </si>
  <si>
    <t>mail@6nip-ioann.ioa.sch.gr</t>
  </si>
  <si>
    <t>Ε. ΚΑΣΤΡΙΣΟΪΑ 18</t>
  </si>
  <si>
    <t>11ο ΝΗΠΙΑΓΩΓΕΙΟ ΙΩΑΝΝΙΝΩΝ</t>
  </si>
  <si>
    <t>mail@11nip-ioann.ioa.sch.gr</t>
  </si>
  <si>
    <t>ΚΟΥΡΕΝΤΩΝ ΚΑΙ ΙΕΡΟΛΟΧΙΤΩΝ ΙΩΑΝΝΙΝΩΝ 45445</t>
  </si>
  <si>
    <t>8ο ΝΗΠΙΑΓΩΓΕΙΟ ΙΩΑΝΝΙΝΩΝ</t>
  </si>
  <si>
    <t>mail@8nip-ioann.ioa.sch.gr</t>
  </si>
  <si>
    <t>ΠΑΤΡΙΑΡΧΟΥ ΙΩΑΣΑΦ 13</t>
  </si>
  <si>
    <t>15ο ΝΗΠΙΑΓΩΓΕΙΟ ΙΩΑΝΝΙΝΩΝ</t>
  </si>
  <si>
    <t>mail@15nip-ioann.ioa.sch.gr</t>
  </si>
  <si>
    <t>ΕΥΕΡΓΕΤΩΝ 45</t>
  </si>
  <si>
    <t>10ο ΝΗΠΙΑΓΩΓΕΙΟ ΙΩΑΝΝΙΝΩΝ - ΜΑΡΟΥΤΣΕΙΟ</t>
  </si>
  <si>
    <t>mail@10nip-ioann.ioa.sch.gr</t>
  </si>
  <si>
    <t>ΧΡ. ΚΑΤΣΑΡΗ 11</t>
  </si>
  <si>
    <t>ΔΗΜΟΤΙΚΟ ΣΧΟΛΕΙΟ ΑΓΙΟΥ ΙΩΑΝΝΗ ΖΙΤΣΑΣ</t>
  </si>
  <si>
    <t>mail@dim-ag-ioann.ioa.sch.gr</t>
  </si>
  <si>
    <t>ΑΓΙΟΣ ΙΩΑΝΝΗΣ</t>
  </si>
  <si>
    <t>1ο ΝΗΠΙΑΓΩΓΕΙΟ ΕΛΕΟΥΣΑΣ</t>
  </si>
  <si>
    <t>mail@nip-eleous.ioa.sch.gr</t>
  </si>
  <si>
    <t>ΕΛΕΟΥΣΑΣ</t>
  </si>
  <si>
    <t>ΠΟΛΥΤΕΧΝΕΙΟΥ 37 &amp; ΠΡΟΦΗΤΗ ΗΛΙΑ 2</t>
  </si>
  <si>
    <t>1ο ΔΗΜΟΤΙΚΟ ΣΧΟΛΕΙΟ ΕΛΕΟΥΣΑΣ</t>
  </si>
  <si>
    <t>mail@dim-eleous.ioa.sch.gr</t>
  </si>
  <si>
    <t xml:space="preserve">Ελεούσα </t>
  </si>
  <si>
    <t>21ΗΣ ΦΕΒΡΟΥΑΡΙΟΥ ΕΛΕΟΥΣΑ ΙΩΑΝΝΙΝΩΝ</t>
  </si>
  <si>
    <t>6ο ΔΗΜΟΤΙΚΟ ΣΧΟΛΕΙΟ ΙΩΑΝΝΙΝΩΝ</t>
  </si>
  <si>
    <t>mail@6dim-ioann.ioa.sch.gr</t>
  </si>
  <si>
    <t>ΜΑΝΩΛΗ ΤΡΙΑΝΤΑΦΥΛΛΙΔΗ 29</t>
  </si>
  <si>
    <t>2ο ΝΗΠΙΑΓΩΓΕΙΟ ΙΩΑΝΝΙΝΩΝ</t>
  </si>
  <si>
    <t>mail@2nip-ioann.ioa.sch.gr</t>
  </si>
  <si>
    <t>ΠΛΑΤΕΙΑ ΖΑΛΟΓΓΟΥ</t>
  </si>
  <si>
    <t>20ο ΔΗΜΟΤΙΚΟ ΣΧΟΛΕΙΟ ΙΩΑΝΝΙΝΩΝ</t>
  </si>
  <si>
    <t>mail@20dim-ioann.ioa.sch.gr</t>
  </si>
  <si>
    <t>ΔΗΜΟΤΙΚΟ ΣΧΟΛΕΙΟ ΠΕΔΙΝΗΣ</t>
  </si>
  <si>
    <t>mail@dim-pedin.ioa.sch.gr</t>
  </si>
  <si>
    <t>ΠΕΔΙΝΗ</t>
  </si>
  <si>
    <t>6Η ΕΠΑΡΧΙΑΚΗ ΟΔΟΣ</t>
  </si>
  <si>
    <t>ΔΗΜΟΤΙΚΟ ΣΧΟΛΕΙΟ ΡΟΔΟΤΟΠΙΟΥ</t>
  </si>
  <si>
    <t>mail@dim-rodot.ioa.sch.gr</t>
  </si>
  <si>
    <t>Ροδοτόπι</t>
  </si>
  <si>
    <t>Ροδοτόπι Ιωαννίνων</t>
  </si>
  <si>
    <t>ΔΗΜΟΤΙΚΟ ΣΧΟΛΕΙΟ ΣΤΑΥΡΑΚΙΟΥ</t>
  </si>
  <si>
    <t>mail@1dim-stavr.ioa.sch.gr</t>
  </si>
  <si>
    <t>ΚΕ ΜΑΡΤΙΟΥ 34</t>
  </si>
  <si>
    <t>33ο ΠΕΙΡΑΜΑΤΙΚΟ ΝΗΠΙΑΓΩΓΕΙΟ ΙΩΑΝΝΙΝΩΝ</t>
  </si>
  <si>
    <t>mail@33nip-ioann.ioa.sch.gr</t>
  </si>
  <si>
    <t>ΠΑΝΕΠΙΣΤΗΜΙΟΥΠΟΛΗ- ΔΟΥΡΟΥΤΗ</t>
  </si>
  <si>
    <t>1ο ΝΗΠΙΑΓΩΓΕΙΟ ΚΑΤΣΙΚΑ</t>
  </si>
  <si>
    <t>mail@1nip-katsik.ioa.sch.gr</t>
  </si>
  <si>
    <t>ΚΑΤΣΙΚΑ</t>
  </si>
  <si>
    <t>Β. ΜΕΛΑ 3</t>
  </si>
  <si>
    <t>3ο ΝΗΠΙΑΓΩΓΕΙΟ ΚΑΤΣΙΚΑ</t>
  </si>
  <si>
    <t>mail@3nip-katsik.ioa.sch.gr</t>
  </si>
  <si>
    <t>2ο ΝΗΠΙΑΓΩΓΕΙΟ ΑΝΑΤΟΛΗΣ</t>
  </si>
  <si>
    <t>mail@2nip-anatol.ioa.sch.gr</t>
  </si>
  <si>
    <t>ΠΑΝΑΓΙΑΣ ΣΟΥΜΕΛΑ  33</t>
  </si>
  <si>
    <t>18ο ΝΗΠΙΑΓΩΓΕΙΟ ΙΩΑΝΝΙΝΩΝ</t>
  </si>
  <si>
    <t>mail@18nip-ioann.ioa.sch.gr</t>
  </si>
  <si>
    <t>ΠΑΤΑΤΟΥΚΟΥ 11</t>
  </si>
  <si>
    <t>10ο ΔΗΜΟΤΙΚΟ ΣΧΟΛΕΙΟ ΙΩΑΝΝΙΝΩΝ</t>
  </si>
  <si>
    <t>mail@10dim-ioann.ioa.sch.gr</t>
  </si>
  <si>
    <t>Δ. ΙΩΑΝΝΟΥ 25</t>
  </si>
  <si>
    <t>28ο ΝΗΠΙΑΓΩΓΕΙΟ ΙΩΑΝΝΙΝΩΝ</t>
  </si>
  <si>
    <t>mail@28nip-ioann.ioa.sch.gr</t>
  </si>
  <si>
    <t>ΑΝΘΟΥΠΟΛΗ</t>
  </si>
  <si>
    <t>11ο ΔΗΜΟΤΙΚΟ ΣΧΟΛΕΙΟ ΙΩΑΝΝΙΝΩΝ - Β ΕΛΙΣΑΒΕΤΕΙΟ</t>
  </si>
  <si>
    <t>mail@11dim-eliss.ioa.sch.gr</t>
  </si>
  <si>
    <t>ΕΛΙΣΑΒΕΤ  ΚΑΣΤΡΙΣΟΪΑ 18</t>
  </si>
  <si>
    <t>4ο ΔΗΜΟΤΙΚΟ ΣΧΟΛΕΙΟ ΙΩΑΝΝΙΝΩΝ</t>
  </si>
  <si>
    <t>mail@4dim-ioann.ioa.sch.gr</t>
  </si>
  <si>
    <t>Ιωάννινα,</t>
  </si>
  <si>
    <t>ΜΟΛΟΣΣΩΝ 4</t>
  </si>
  <si>
    <t>18ο ΔΗΜΟΤΙΚΟ ΣΧΟΛΕΙΟ ΙΩΑΝΝΙΝΩΝ - Γ ΕΛΙΣΑΒΕΤΕΙΟ</t>
  </si>
  <si>
    <t>mail@18dim-ioann.ioa.sch.gr</t>
  </si>
  <si>
    <t>ΔΗΜΟΥΛΙΤΣΑ ΠΑΤΑΤΟΥΚΟΥ 11</t>
  </si>
  <si>
    <t>3ο ΝΗΠΙΑΓΩΓΕΙΟ ΜΑΡΜΑΡΩΝ</t>
  </si>
  <si>
    <t>mail@3nip-marmar.ioa.sch.gr</t>
  </si>
  <si>
    <t>ΜΑΡΜΑΡΩΝ</t>
  </si>
  <si>
    <t>ΚΑΡΔΑΜΙΤΣΙΑ</t>
  </si>
  <si>
    <t>2ο ΔΗΜΟΤΙΚΟ ΣΧΟΛΕΙΟ ΑΝΑΤΟΛΗΣ</t>
  </si>
  <si>
    <t>mail@2dim-anatol.ioa.sch.gr</t>
  </si>
  <si>
    <t>Ανατολή</t>
  </si>
  <si>
    <t>ΣΑΜΨΟΥΝΤΟΣ 1</t>
  </si>
  <si>
    <t>ΔΗΜΟΤΙΚΟ ΣΧΟΛΕΙΟ ΜΠΑΦΡΑΣ - ΝΕΟΚΑΙΣΑΡΕΙΑΣ</t>
  </si>
  <si>
    <t>mail@dim-bafras.ioa.sch.gr</t>
  </si>
  <si>
    <t>ΜΠΑΦΡΑ</t>
  </si>
  <si>
    <t>1/θ  ΔΗΜΟΤΙΚΟ ΣΧΟΛΕΙΟ ΔΕΛΒΙΝΑΚΙΟΥ</t>
  </si>
  <si>
    <t>mail@dim-delvin.ioa.sch.gr</t>
  </si>
  <si>
    <t>ΠΩΓΩΝΙΟΥ</t>
  </si>
  <si>
    <t>ΔΕΛΒΙΝΑΚΙ</t>
  </si>
  <si>
    <t>Δελβινάκι</t>
  </si>
  <si>
    <t>1ο ΔΗΜΟΤΙΚΟ ΣΧΟΛΕΙΟ ΚΟΝΙΤΣΑΣ</t>
  </si>
  <si>
    <t>mail@1dim-konits.ioa.sch.gr</t>
  </si>
  <si>
    <t>Κόνιτσα</t>
  </si>
  <si>
    <t>ΜΗΤΡΟΠΟΛΙΤΗ ΣΕΒΑΣΤΙΑΝΟΥ 30</t>
  </si>
  <si>
    <t>ΔΗΜΟΤΙΚΟ ΣΧΟΛΕΙΟ ΚΟΥΤΣΕΛΙΟΥ</t>
  </si>
  <si>
    <t>mail@dim-kouts.ioa.sch.gr</t>
  </si>
  <si>
    <t>ΚΟΥΤΣΕΛΙΟ</t>
  </si>
  <si>
    <t>ΔΗΜΟΤΙΚΟ ΣΧΟΛΕΙΟ ΒΟΥΝΟΠΛΑΓΙΑΣ</t>
  </si>
  <si>
    <t>mail@dim-vounopl.ioa.sch.gr</t>
  </si>
  <si>
    <t>Βουνοπλαγιά</t>
  </si>
  <si>
    <t>1ο ΔΗΜΟΤΙΚΟ ΣΧΟΛΕΙΟ ΑΝΑΤΟΛΗΣ</t>
  </si>
  <si>
    <t>mail@1dim-anatol.ioa.sch.gr</t>
  </si>
  <si>
    <t xml:space="preserve">ΑΝΑΤΟΛΗ </t>
  </si>
  <si>
    <t>ΙΩΑΝΝΙΝΩΝ 73</t>
  </si>
  <si>
    <t>ΔΗΜΟΤΙΚΟ ΣΧΟΛΕΙΟ ΜΕΤΣΟΒΟΥ - ΤΟΣΙΤΣΕΙΟ</t>
  </si>
  <si>
    <t>mail@1dim-metsov.ioa.sch.gr</t>
  </si>
  <si>
    <t>ΜΕΤΣΟΒΟΥ</t>
  </si>
  <si>
    <t>ΜΕΤΣΟΒΟ</t>
  </si>
  <si>
    <t>3ο ΔΗΜΟΤΙΚΟ ΣΧΟΛΕΙΟ ΙΩΑΝΝΙΝΩΝ - ΜΑΡΟΥΤΣΕΙΟ</t>
  </si>
  <si>
    <t>mail@3dim-ioann.ioa.sch.gr</t>
  </si>
  <si>
    <t>ΧΡΗΣΤΟΥ ΚΑΤΣΑΡΗ 11</t>
  </si>
  <si>
    <t>9ο  ΠΕΙΡΑΜΑΤΙΚΟ ΔΗΜΟΤΙΚΟ ΣΧΟΛΕΙΟ ΙΩΑΝΝΙΝΩΝ - ΔΙΑΠΟΛΙΤΙΣΜΙΚΗΣ ΕΚΠΑΙΔΕΥΣΗΣ</t>
  </si>
  <si>
    <t>mail@9dim-ioann.ioa.sch.gr</t>
  </si>
  <si>
    <t xml:space="preserve">Ιωάννινα, </t>
  </si>
  <si>
    <t>ΓΛΥΚΗΔΩΝ 1</t>
  </si>
  <si>
    <t>3ο ΔΗΜΟΤΙΚΟ ΣΧΟΛΕΙΟ ΑΝΑΤΟΛΗΣ</t>
  </si>
  <si>
    <t>mail@3dim-anatol.ioa.sch.gr</t>
  </si>
  <si>
    <t>ΑΝΑΤΟΛΗ</t>
  </si>
  <si>
    <t>ΝΥΜΦΩΝ-ΦΙΛΥΡΑΣ</t>
  </si>
  <si>
    <t>3ο ΝΗΠΙΑΓΩΓΕΙΟ ΙΩΑΝΝΙΝΩΝ</t>
  </si>
  <si>
    <t>mail@3nip-ioann.ioa.sch.gr</t>
  </si>
  <si>
    <t>ΤΑΣΟΥ ΙΣΑΑΚ ΚΑΙ ΤΕΡΜΑ ΜΑΝΩΛΙΑΣΣΗΣ ΚΙΑΦΑ</t>
  </si>
  <si>
    <t>3ο ΔΗΜΟΤΙΚΟ ΣΧΟΛΕΙΟ ΜΑΡΜΑΡΩΝ</t>
  </si>
  <si>
    <t>mail@3dim-marmar.ioa.sch.gr</t>
  </si>
  <si>
    <t>ΚΟΣΜΑ ΑΙΤΩΛΟΥ και ΚΟΥΚΟΥΖΕΛΗ</t>
  </si>
  <si>
    <t>ΝΗΠΙΑΓΩΓΕΙΟ ΜΕΤΣΟΒΟΥ</t>
  </si>
  <si>
    <t>mail@1nip-metsov.ioa.sch.gr</t>
  </si>
  <si>
    <t>ΚΩΝΣΤΑΝΤΙΝΟΥ ΦΟΡΝΙΓΚΑ 2</t>
  </si>
  <si>
    <t>ΔΗΜΟΤΙΚΟ ΣΧΟΛΕΙΟ ΠΑΡΑΚΑΛΑΜΟΥ</t>
  </si>
  <si>
    <t>mail@dim-parak.ioa.sch.gr</t>
  </si>
  <si>
    <t>ΠΑΡΑΚΑΛΑΜΟΣ</t>
  </si>
  <si>
    <t>21ο ΔΗΜΟΤΙΚΟ ΣΧΟΛΕΙΟ ΙΩΑΝΝΙΝΩΝ</t>
  </si>
  <si>
    <t>mail@21dim-ioann.ioa.sch.gr</t>
  </si>
  <si>
    <t>ΔΙΓΕΝΗ ΑΚΡΙΤΑ 1</t>
  </si>
  <si>
    <t>24ο ΔΗΜΟΤΙΚΟ ΣΧΟΛΕΙΟ ΙΩΑΝΝΙΝΩΝ</t>
  </si>
  <si>
    <t>24dimioan@sch.gr</t>
  </si>
  <si>
    <t>ΑΝΘΟΥΠΟΛΗ ΙΩΑΝΝΙΝΩΝ</t>
  </si>
  <si>
    <t>3ο ΔΗΜΟΤΙΚΟ ΣΧΟΛΕΙΟ ΚΟΝΙΤΣΑΣ</t>
  </si>
  <si>
    <t>mail@3dim-konits.ioa.sch.gr</t>
  </si>
  <si>
    <t>26ο ΔΗΜΟΤΙΚΟ ΣΧΟΛΕΙΟ ΙΩΑΝΝΙΝΩΝ</t>
  </si>
  <si>
    <t>mail@26dim-ioann.ioa.sch.gr</t>
  </si>
  <si>
    <t>ΤΣΙΦΛΙΚΟΠΟΥΛΟΥ 21</t>
  </si>
  <si>
    <t>19ο ΔΗΜΟΤΙΚΟ ΣΧΟΛΕΙΟ ΙΩΑΝΝΙΝΩΝ</t>
  </si>
  <si>
    <t>mail@19dim-ioann.ioa.sch.gr</t>
  </si>
  <si>
    <t>ΠΕΝΤΕΛΗΣ 1</t>
  </si>
  <si>
    <t>12ο ΔΗΜΟΤΙΚΟ ΣΧΟΛΕΙΟ ΙΩΑΝΝΙΝΩΝ</t>
  </si>
  <si>
    <t>mail@12dim-ioann.ioa.sch.gr</t>
  </si>
  <si>
    <t>ΔΩΔΩΝΗΣ 6</t>
  </si>
  <si>
    <t>ΔΗΜΟΤΙΚΟ ΣΧΟΛΕΙΟ ΠΡΑΜΑΝΤΩΝ</t>
  </si>
  <si>
    <t>mail@dim-pramant.ioa.sch.gr</t>
  </si>
  <si>
    <t>ΒΟΡΕΙΩΝ ΤΖΟΥΜΕΡΚΩΝ</t>
  </si>
  <si>
    <t>Πράμαντα</t>
  </si>
  <si>
    <t>Πράμαντα Ιωαννίνων</t>
  </si>
  <si>
    <t>ΔΗΜΟΤΙΚΟ ΣΧΟΛΕΙΟ ΛΟΓΓΑΔΩΝ</t>
  </si>
  <si>
    <t>mail@dim-loggad.ioa.sch.gr</t>
  </si>
  <si>
    <t>Λογγάδες</t>
  </si>
  <si>
    <t>ΔΗΜΟΤΙΚΟ ΣΧΟΛΕΙΟ ΚΑΤΣΙΚΑ</t>
  </si>
  <si>
    <t>mail@dim-katsik.ioa.sch.gr</t>
  </si>
  <si>
    <t>ΚΑΤΣΙΚΑΣ</t>
  </si>
  <si>
    <t>Βασιλείου Μελά 1</t>
  </si>
  <si>
    <t>8ο ΔΗΜΟΤΙΚΟ ΣΧΟΛΕΙΟ ΙΩΑΝΝΙΝΩΝ</t>
  </si>
  <si>
    <t>mail@8dim-ioann.ioa.sch.gr</t>
  </si>
  <si>
    <t>2ο ΠΕΙΡΑΜΑΤΙΚΟ ΔΗΜΟΤΙΚΟ ΣΧΟΛΕΙΟ Ζ.Π.Α. ΙΩΑΝΝΙΝΩΝ (ΕΝΤΑΓΜΕΝΟ ΣΤΟ ΠΑΝΕΠΙΣΤΗΜΙΟ)</t>
  </si>
  <si>
    <t>mail@2dim-peir-zosim.ioa.sch.gr</t>
  </si>
  <si>
    <t>1ο ΠΕΙΡΑΜΑΤΙΚΟ ΔΗΜΟΤΙΚΟ ΣΧΟΛΕΙΟ Ζ.Π.Α. ΙΩΑΝΝΙΝΩΝ (ΕΝΤΑΓΜΕΝΟ ΣΤΟ ΠΑΝΕΠΙΣΤΗΜΙΟ)</t>
  </si>
  <si>
    <t>mail@1dim-peir-ioann.ioa.sch.gr</t>
  </si>
  <si>
    <t>27ο ΔΗΜΟΤΙΚΟ ΣΧΟΛΕΙΟ ΙΩΑΝΝΙΝΩΝ</t>
  </si>
  <si>
    <t>mail@27dim-ioann.ioa.sch.gr</t>
  </si>
  <si>
    <t>ΤΑΣΟΥ ΙΣΑΑΚ ΚΑΙ ΤΕΡΜΑ ΜΑΝΩΛΙΑΣΑΣ 22</t>
  </si>
  <si>
    <t>30ο ΝΗΠΙΑΓΩΓΕΙΟ ΙΩΑΝΝΙΝΩΝ</t>
  </si>
  <si>
    <t>mail@30nip-ioann.ioa.sch.gr</t>
  </si>
  <si>
    <t>ΑΜΑΛΘΕΙΑΣ 12</t>
  </si>
  <si>
    <t>6ο ΝΗΠΙΑΓΩΓΕΙΟ ΑΝΑΤΟΛΗΣ</t>
  </si>
  <si>
    <t>mail@6nip-anatol.ioa.sch.gr</t>
  </si>
  <si>
    <t>ΑΓΩΝΙΣΤΩΝ ΑΝΑΤΟΛΗΣ 23</t>
  </si>
  <si>
    <t>ΝΗΠΙΑΓΩΓΕΙΟ ΠΕΡΑΜΑΤΟΣ ΙΩΑΝΝΙΝΩΝ</t>
  </si>
  <si>
    <t>mail@1nip-peram.ioa.sch.gr</t>
  </si>
  <si>
    <t>25ης ΜΑΡΤΙΟΥ 4</t>
  </si>
  <si>
    <t>2ο ΔΗΜΟΤΙΚΟ ΣΧΟΛΕΙΟ ΕΛΕΟΥΣΑΣ - ΓΡΗΓΟΡΙΟΣ ΠΑΛΙΟΥΡΙΤΗΣ</t>
  </si>
  <si>
    <t>mail@2dim-eleous.ioa.sch.gr</t>
  </si>
  <si>
    <t xml:space="preserve">Ελεούσα  </t>
  </si>
  <si>
    <t>ΠΟΛΥΤΕΧΝΕΙΟΥ 37 &amp; ΒΕΛΙΣΣΑΡΙΟΥ &amp; ΠΡΟΦΗΤΗ ΗΛΙΑ 2</t>
  </si>
  <si>
    <t>4ο ΔΗΜΟΤΙΚΟ ΣΧΟΛΕΙΟ ΑΝΑΤΟΛΗΣ</t>
  </si>
  <si>
    <t>mail@4dim-anatol.ioa.sch.gr</t>
  </si>
  <si>
    <t>ΑΝΑΤΟΛΗ ΙΩΑΝΝΙΝΩΝ</t>
  </si>
  <si>
    <t>ΠΛΑΤΩΝΟΣ 8</t>
  </si>
  <si>
    <t>34ο ΝΗΠΙΑΓΩΓΕΙΟ ΙΩΑΝΝΙΝΩΝ</t>
  </si>
  <si>
    <t>mail@34nip-ioann.ioa.sch.gr</t>
  </si>
  <si>
    <t>ΕΛΕΝΗΣ ΖΩΓΡΑΦΟΥ 3</t>
  </si>
  <si>
    <t>Π.Ε. ΠΡΕΒΕΖΑΣ</t>
  </si>
  <si>
    <t>10ο ΝΗΠΙΑΓΩΓΕΙΟ ΠΡΕΒΕΖΑ</t>
  </si>
  <si>
    <t>mail@10nip-prevez.pre.sch.gr</t>
  </si>
  <si>
    <t>ΠΡΕΒΕΖΗΣ</t>
  </si>
  <si>
    <t>ΠΡΕΒΕΖΑ</t>
  </si>
  <si>
    <t>ΜΑΥΡΟΚΟΡΔΑΤΟΥ 10</t>
  </si>
  <si>
    <t>1ο ΝΗΠΙΑΓΩΓΕΙΟ ΦΙΛΙΠΠΙΑΔΑΣ</t>
  </si>
  <si>
    <t>mail@1nip-filipp.pre.sch.gr</t>
  </si>
  <si>
    <t>ΖΗΡΟΥ</t>
  </si>
  <si>
    <t>ΦΙΛΙΠΠΙΑΔΑ</t>
  </si>
  <si>
    <t>ΓΡΗΓΟΡΗ ΛΑΜΠΡΑΚΗ</t>
  </si>
  <si>
    <t>2ο ΔΗΜΟΤΙΚΟ ΣΧΟΛΕΙΟ ΠΡΕΒΕΖΑΣ</t>
  </si>
  <si>
    <t>mail@2dim-prevez.pre.sch.gr</t>
  </si>
  <si>
    <t>ΛΕΩΦΟΡΟΣ ΕΙΡΗΝΗΣ 74</t>
  </si>
  <si>
    <t>1ο ΔΗΜΟΤΙΚΟ ΣΧΟΛΕΙΟ ΘΕΣΠΡΩΤΙΚΟΥ</t>
  </si>
  <si>
    <t>mail@1dim-thesp.pre.sch.gr</t>
  </si>
  <si>
    <t>ΘΕΣΠΡΩΤΙΚΟ</t>
  </si>
  <si>
    <t>1ο ΔΗΜΟΤΙΚΟ ΣΧΟΛΕΙΟ ΠΡΕΒΕΖΑΣ</t>
  </si>
  <si>
    <t>mail@1dim-prevez.pre.sch.gr</t>
  </si>
  <si>
    <t>Π.ΤΣΑΛΔΑΡΗ 64</t>
  </si>
  <si>
    <t>ΔΗΜΟΤΙΚΟ ΣΧΟΛΕΙΟ ΚΑΝΑΛΙΟΥ</t>
  </si>
  <si>
    <t>mail@dim-kanali.pre.sch.gr</t>
  </si>
  <si>
    <t>ΚΑΝΑΛΙ</t>
  </si>
  <si>
    <t>3ο  ΔΗΜΟΤΙΚΟ ΣΧΟΛΕΙΟ ΦΙΛΙΠΠΙΑΔΑΣ</t>
  </si>
  <si>
    <t>mail@3dim-filipp.pre.sch.gr</t>
  </si>
  <si>
    <t>ΜΠΙΖΑΝΙΟΥ ΠΑΡΟΔΟΣ 2</t>
  </si>
  <si>
    <t>2ο Νηπιαγωγειο Πρέβεζας</t>
  </si>
  <si>
    <t>mail@2nip-prevez.pre.sch.gr</t>
  </si>
  <si>
    <t>ΠΡΟΜΗΘΕΩΣ 8</t>
  </si>
  <si>
    <t>ΔΗΜΟΤΙΚΟ ΣΧΟΛΕΙΟ ΝΕΑΣ ΣΙΝΩΠΗΣ</t>
  </si>
  <si>
    <t>mail@dim-n-sinop.pre.sch.gr</t>
  </si>
  <si>
    <t>ΝΕΑ ΣΙΝΩΠΗ</t>
  </si>
  <si>
    <t>ΔΗΜΟΤΙΚΟ ΣΧΟΛΕΙΟ Ν. ΩΡΩΠΟΥ</t>
  </si>
  <si>
    <t>mail@dim-oropou.pre.sch.gr</t>
  </si>
  <si>
    <t>Ν. ΩΡΩΠΟΣ ΠΡΕΒΕΖΗΣ</t>
  </si>
  <si>
    <t>Ν. ΩΡΩΠΟΣ</t>
  </si>
  <si>
    <t>4ο  ΝΗΠΙΑΓΩΓΕΙΟ ΠΡΕΒΕΖΑΣ</t>
  </si>
  <si>
    <t>mail@4nip-prevez.pre.sch.gr</t>
  </si>
  <si>
    <t>ΜΑΝΟΠΟΥΛΟΥ  12</t>
  </si>
  <si>
    <t>2ο ΝΗΠΙΑΓΩΓΕΙΟ ΠΑΡΓΑΣ</t>
  </si>
  <si>
    <t>mail@2nip-pargas.pre.sch.gr</t>
  </si>
  <si>
    <t>ΠΑΡΓΑΣ</t>
  </si>
  <si>
    <t>ΠΑΡΓΑ</t>
  </si>
  <si>
    <t>ΠΑΡΟΔΟΣ ΑΘ.ΓΚΟΥΝΑ</t>
  </si>
  <si>
    <t>6ο ΝΗΠΙΑΓΩΓΕΙΟ ΠΡΕΒΕΖΑΣ</t>
  </si>
  <si>
    <t>mail@6nip-prevez.pre.sch.gr</t>
  </si>
  <si>
    <t>ΑΡΚΑΔΙΟΥ  23</t>
  </si>
  <si>
    <t>12ο ΝΗΠΙΑΓΩΓΕΙΟ ΠΡΕΒΕΖΑΣ</t>
  </si>
  <si>
    <t>mail@12nip-prevez.pre.sch.gr</t>
  </si>
  <si>
    <t>ΠΑΡ ΖΑΛΟΚΩΣΤΑ ΕΝΑΝΤΙ Ν ΑΓ ΕΙΡΗΝΗΣ</t>
  </si>
  <si>
    <t>2ο ΝΗΠΙΑΓΩΓΕΙΟ ΚΑΝΑΛΛΑΚΙΟΥ</t>
  </si>
  <si>
    <t>mail@2nip-kanal.pre.sch.gr</t>
  </si>
  <si>
    <t>ΚΑΝΑΛΛΑΚΙ</t>
  </si>
  <si>
    <t>ΚΑΝΑΛΛΑΚΙ ΠΡΕΒΕΖΑΣ</t>
  </si>
  <si>
    <t>ΔΗΜΟΤΙΚΟ ΣΧΟΛΕΙΟ ΝΕΑΣ ΚΕΡΑΣΟΥΝΤΑΣ</t>
  </si>
  <si>
    <t>mail@dim-n-keras.pre.sch.gr</t>
  </si>
  <si>
    <t>ΝΕΑ ΚΕΡΑΣΟΥΝΤΑ</t>
  </si>
  <si>
    <t>1ο ΔΗΜΟΤΙΚΟ ΣΧΟΛΕΙΟ ΦΙΛΙΠΠΙΑΔΑΣ</t>
  </si>
  <si>
    <t>mail@dim-filipp.pre.sch.gr</t>
  </si>
  <si>
    <t>Γ. ΠΑΠΑΝΔΡΕΟΥ</t>
  </si>
  <si>
    <t>ΔΗΜΟΤΙΚΟ ΣΧΟΛΕΙΟ ΜΕΣΟΠΟΤΑΜΟΥ</t>
  </si>
  <si>
    <t>mail@dim-mesop.pre.sch.gr</t>
  </si>
  <si>
    <t>ΜΕΣΟΠΟΤΑΜΟΣ</t>
  </si>
  <si>
    <t>ΜΕΣΟΠΟΤΑΜΟΣ ΠΡΕΒΕΖΑΣ</t>
  </si>
  <si>
    <t>5ο ΔΗΜΟΤΙΚΟ ΣΧΟΛΕΙΟ ΠΡΕΒΕΖΑΣ</t>
  </si>
  <si>
    <t>mail@5dim-prevez.pre.sch.gr</t>
  </si>
  <si>
    <t>ΚΕΡΚΥΡΑΣ 20</t>
  </si>
  <si>
    <t>2ο ΔΗΜΟΤΙΚΟ ΣΧΟΛΕΙΟ ΦΙΛΙΠΠΙΑΔΑΣ</t>
  </si>
  <si>
    <t>mail@2dim-filipp.pre.sch.gr</t>
  </si>
  <si>
    <t>ΜΠΙΖΑΝΙΟΥ 400</t>
  </si>
  <si>
    <t>3ο ΔΗΜΟΤΙΚΟ ΣΧΟΛΕΙΟ ΠΡΕΒΕΖΑΣ</t>
  </si>
  <si>
    <t>mail@3dim-prevez.pre.sch.gr</t>
  </si>
  <si>
    <t>ΑΡΚΑΔΙΟΥ 6</t>
  </si>
  <si>
    <t>2ο ΔΗΜΟΤΙΚΟ ΣΧΟΛΕΙΟ ΚΑΝΑΛΛΑΚΙΟΥ</t>
  </si>
  <si>
    <t>mail@2dim-kanall.pre.sch.gr</t>
  </si>
  <si>
    <t>ΣΟΥΛΙΟΥ 60</t>
  </si>
  <si>
    <t>4ο ΔΗΜΟΤΙΚΟ ΣΧΟΛΕΙΟ ΠΡΕΒΕΖΑΣ</t>
  </si>
  <si>
    <t>mail@4dim-prevez.pre.sch.gr</t>
  </si>
  <si>
    <t>ΣΟΛΩΜΟΥ &amp;  ΜΙΑΟΥΛΗ</t>
  </si>
  <si>
    <t>1ο  ΔΗΜΟΤΙΚΟ ΣΧΟΛΕΙΟ ΚΑΝΑΛΛΑΚΙΟΥ</t>
  </si>
  <si>
    <t>mail@1dim-kanal.pre.sch.gr</t>
  </si>
  <si>
    <t>7ο ΔΗΜΟΤΙΚΟ ΣΧΟΛΕΙΟ ΠΡΕΒΕΖΑΣ</t>
  </si>
  <si>
    <t>mail@7dim-prevez.pre.sch.gr</t>
  </si>
  <si>
    <t>ΨΑΘΑΚΙ ΠΡΕΒΕΖΑΣ</t>
  </si>
  <si>
    <t>6ο ΔΗΜΟΤΙΚΟ ΣΧΟΛΕΙΟ ΠΡΕΒΕΖΑΣ</t>
  </si>
  <si>
    <t>mail@6dim-prevez.pre.sch.gr</t>
  </si>
  <si>
    <t>ΜΑΝΟΠΟΥΛΟΥ 12</t>
  </si>
  <si>
    <t>1ο  ΔΗΜΟΤΙΚΟ ΣΧΟΛΕΙΟ ΠΑΡΓΑΣ</t>
  </si>
  <si>
    <t>mail@1dim-pargas.pre.sch.gr</t>
  </si>
  <si>
    <t>ΣΠ.ΛΙΒΑΔΑ ΠΑΡΓΑ 12</t>
  </si>
  <si>
    <t>ΔΗΜΟΤΙΚΟ ΣΧΟΛΕΙΟ ΛΟΥΡΟΥ ΠΡΕΒΕΖΑΣ</t>
  </si>
  <si>
    <t>mail@dim-lourou.pre.sch.gr</t>
  </si>
  <si>
    <t>Λούρος,</t>
  </si>
  <si>
    <t>ΠΡΟΦΗΤΗ ΗΛΙΑ</t>
  </si>
  <si>
    <t>2ο  ΔΗΜΟΤΙΚΟ ΣΧΟΛΕΙΟ ΠΑΡΓΑΣ</t>
  </si>
  <si>
    <t>mail@2dim-pargas.pre.sch.gr</t>
  </si>
  <si>
    <t>ΑΓΓΕΛΟΥ ΦΕΤΣΗ 2</t>
  </si>
  <si>
    <t>8ο ΔΗΜΟΤΙΚΟ ΣΧΟΛΕΙΟ ΠΡΕΒΕΖΑΣ</t>
  </si>
  <si>
    <t>mail@8dim-prevez.pre.sch.gr</t>
  </si>
  <si>
    <t>ΣΥΡΡΑΚΟΥ 2, ΕΛΑΙΩΝΑΣ</t>
  </si>
  <si>
    <t>2ο ΝΗΠΙΑΓΩΓΕΙΟ ΦΙΛΙΠΠΙΑΔΑ</t>
  </si>
  <si>
    <t>mail@2nip-filipp.pre.sch.gr</t>
  </si>
  <si>
    <t>ΚΩΣΤΗ ΠΑΛΑΜΑ 2</t>
  </si>
  <si>
    <t>7ο ΝΗΠΙΑΓΩΓΕΙΟ ΠΡΕΒΕΖΑΣ</t>
  </si>
  <si>
    <t>mail@7nip-prevez.pre.sch.gr</t>
  </si>
  <si>
    <t>ΠΑΡΓΙΝΟΣΚΑΛΑΣ 29</t>
  </si>
  <si>
    <t>ΔΗΜΟΤΙΚΟ ΣΧΟΛΕΙΟ ΠΑΝΤΟΚΡΑΤΟΡΑ ΠΡΕΒΕΖΑΣ</t>
  </si>
  <si>
    <t>mail@dim-pantokr.pre.sch.gr</t>
  </si>
  <si>
    <t xml:space="preserve">ΠΑΝΤΟΚΡΑΤΟΡΑΣ ΠΡΕΒΕΖΑΣ </t>
  </si>
  <si>
    <t>ΠΡΟΠΟΝΤΙΔΟΣ 4</t>
  </si>
  <si>
    <t>ΘΕΣΣΑΛΙΑΣ</t>
  </si>
  <si>
    <t>Π.Ε. ΚΑΡΔΙΤΣΑΣ</t>
  </si>
  <si>
    <t>1ο ΝΗΠΙΑΓΩΓΕΙΟ ΣΟΦΑΔΩΝ</t>
  </si>
  <si>
    <t>mail@1nip-sofad.kar.sch.gr</t>
  </si>
  <si>
    <t>ΣΟΦΑΔΩΝ</t>
  </si>
  <si>
    <t>ΚΩΝΣΤΑΝΤΙΝΟΥ ΚΑΡΑΜΑΝΛΗ</t>
  </si>
  <si>
    <t>2ο ΝΗΠΙΑΓΩΓΕΙΟ ΣΟΦΑΔΩΝ</t>
  </si>
  <si>
    <t>mail@2nip-sofad.kar.sch.gr</t>
  </si>
  <si>
    <t>ΠΛΑΣΤΗΡΑ 100</t>
  </si>
  <si>
    <t>5ο ΝΗΠΙΑΓΩΓΕΙΟ ΣΟΦΑΔΩΝ</t>
  </si>
  <si>
    <t>mail@5nip-sof-tsigan.kar.sch.gr</t>
  </si>
  <si>
    <t>ΣΟΦΑΔΕΣ</t>
  </si>
  <si>
    <t>ΝΕΟΣ ΟΙΚΙΣΜΟΣ ΑΘΙΓΓΑΝΩΝ</t>
  </si>
  <si>
    <t>4ο ΝΗΠΙΑΓΩΓΕΙΟ ΣΟΦΑΔΩΝ</t>
  </si>
  <si>
    <t>mail@4nip-sof-tsigan.kar.sch.gr</t>
  </si>
  <si>
    <t>ΤΕΡΜΑ ΑΝΘΕΩΝ</t>
  </si>
  <si>
    <t>1ο ΔΗΜΟΤΙΚΟ ΣΧΟΛΕΙΟ ΠΑΛΑΜΑ</t>
  </si>
  <si>
    <t>mail@1dim-palam.kar.sch.gr</t>
  </si>
  <si>
    <t>ΠΑΛΑΜΑ</t>
  </si>
  <si>
    <t>ΠΑΛΑΜΑΣ</t>
  </si>
  <si>
    <t>Γ. ΚΟΝΔΥΛΗ 15</t>
  </si>
  <si>
    <t>6ο ΝΗΠΙΑΓΩΓΕΙΟ ΚΑΡΔΙΤΣΑΣ</t>
  </si>
  <si>
    <t>mail@6nip-kardits.kar.sch.gr</t>
  </si>
  <si>
    <t>ΚΑΡΔΙΤΣΑΣ</t>
  </si>
  <si>
    <t>ΑΝΤΙΓΟΝΟΥ 89</t>
  </si>
  <si>
    <t>ΔΗΜΟΤΙΚΟ ΣΧΟΛΕΙΟ ΑΝΑΒΡΑΣ ΚΑΡΔΙΤΣΑΣ</t>
  </si>
  <si>
    <t>mail@dim-anavr.kar.sch.gr</t>
  </si>
  <si>
    <t>ΑΝΑΒΡΑ ΚΑΡΔΙΤΣΑΣ</t>
  </si>
  <si>
    <t>ΔΗΜΟΤΙΚΟ ΣΧΟΛΕΙΟ ΙΤΕΑΣ ΚΑΡΔΙΤΣΑΣ</t>
  </si>
  <si>
    <t>mail@dim-iteas.kar.sch.gr</t>
  </si>
  <si>
    <t>Ιτέα</t>
  </si>
  <si>
    <t>ΙΤΕΑ ΚΑΡΔΙΤΣΑΣ</t>
  </si>
  <si>
    <t>ΔΗΜΟΤΙΚΟ ΣΧΟΛΕΙΟ ΜΑΤΑΡΑΓΚΑΣ ΚΑΡΔΙΤΣΑΣ</t>
  </si>
  <si>
    <t>dimmatkar@sch.gr</t>
  </si>
  <si>
    <t>ΜΑΤΑΡΑΓΚΑ</t>
  </si>
  <si>
    <t>ΜΑΤΑΡΑΓΚΑ ΚΑΡΔΙΤΣΑΣ</t>
  </si>
  <si>
    <t>10ο  ΝΗΠΙΑΓΩΓΕΙΟ ΚΑΡΔΙΤΣΑΣ</t>
  </si>
  <si>
    <t>mail@10nip-kardits.kar.sch.gr</t>
  </si>
  <si>
    <t>ΘΕΣΣΑΛΙΩΤΙΔΟΣ  40</t>
  </si>
  <si>
    <t>33ο ΝΗΠΙΑΓΩΓΕΙΟ ΚΑΡΔΙΤΣΑΣ</t>
  </si>
  <si>
    <t>mail@33nip-kardits.kar.sch.gr</t>
  </si>
  <si>
    <t>ΤΕΡΜΑ ΚΑΒΑΦΗ</t>
  </si>
  <si>
    <t>ΔΗΜΟΤΙΚΟ ΣΧΟΛΕΙΟ ΜΗΤΡΟΠΟΛΗΣ ΚΑΡΔΙΤΣΑΣ</t>
  </si>
  <si>
    <t>mail@dim-mitrop.kar.sch.gr</t>
  </si>
  <si>
    <t>ΜΗΤΡΟΠΟΛΗ</t>
  </si>
  <si>
    <t>1ο ΔΗΜΟΤΙΚΟ ΣΧΟΛΕΙΟ ΣΟΦΑΔΩΝ</t>
  </si>
  <si>
    <t>mail@1dim-sofad.kar.sch.gr</t>
  </si>
  <si>
    <t>ΚΑΝΑΡΗ ΚΑΙ ΜΠΟΥΜΠΟΥΛΙΝΑΣ</t>
  </si>
  <si>
    <t>ΔΗΜΟΤΙΚΟ ΣΧΟΛΕΙΟ ΚΑΡΠΟΧΩΡΙΟΥ</t>
  </si>
  <si>
    <t>mail@dim-karpoch.kar.sch.gr</t>
  </si>
  <si>
    <t>Καρποχώρι Σοφάδων</t>
  </si>
  <si>
    <t>ΚΑΡΠΟΧΩΡΙ ΚΑΡΔΙΤΣΑΣ</t>
  </si>
  <si>
    <t>7ο ΔΗΜΟΤΙΚΟ ΣΧΟΛΕΙΟ ΚΑΡΔΙΤΣΑΣ</t>
  </si>
  <si>
    <t>mail@7dim-kardits.kar.sch.gr</t>
  </si>
  <si>
    <t>ΚΑΡΔΙΤΣΑ</t>
  </si>
  <si>
    <t>ΕΘΝΑΡΧΟΥ ΜΑΚΑΡΙΟΥ 1</t>
  </si>
  <si>
    <t>ΔΗΜΟΤΙΚΟ ΣΧΟΛΕΙΟ ΜΑΚΡΥΧΩΡΙΟΥ</t>
  </si>
  <si>
    <t>mail@dim-makrych.kar.sch.gr</t>
  </si>
  <si>
    <t>ΜΑΚΡΥΧΩΡΙ</t>
  </si>
  <si>
    <t>2ο ΔΗΜΟΤΙΚΟ ΣΧΟΛΕΙΟ ΠΑΛΑΜΑ</t>
  </si>
  <si>
    <t>mail@2dim-palam.kar.sch.gr</t>
  </si>
  <si>
    <t>ΜΑΝΤΟΠΟΥΛΟΥ ΛΟΦΟΣ</t>
  </si>
  <si>
    <t>2ο ΔΗΜΟΤΙΚΟ ΣΧΟΛΕΙΟ ΣΟΦΑΔΩΝ</t>
  </si>
  <si>
    <t>mail@2dim-sofad.kar.sch.gr</t>
  </si>
  <si>
    <t>ΝΙΚ.ΠΑΠΑΚΡΙΒΟΥ 12</t>
  </si>
  <si>
    <t>9ο ΝΗΠΙΑΓΩΓΕΙΟ ΚΑΡΔΙΤΣΑΣ</t>
  </si>
  <si>
    <t>mail@9nip-kardits.kar.sch.gr</t>
  </si>
  <si>
    <t>ΔΗΜ.ΛΑΠΠΑ ΤΕΡΜΑ</t>
  </si>
  <si>
    <t>ΔΗΜΟΤΙΚΟ ΣΧΟΛΕΙΟ ΑΓΝΑΝΤΕΡΟΥ</t>
  </si>
  <si>
    <t>mail@dim-agnant.kar.sch.gr</t>
  </si>
  <si>
    <t>ΜΟΥΖΑΚΙΟΥ</t>
  </si>
  <si>
    <t xml:space="preserve"> ΑΓΝΑΝΤΕΡΟ ΚΑΡΔΙΤΣΑΣ</t>
  </si>
  <si>
    <t>ΑΓΝΑΝΤΕΡΟ</t>
  </si>
  <si>
    <t>ΝΗΠΙΑΓΩΓΕΙΟ ΠΡΟΑΣΤΙΟΥ ΚΑΡΔΙΤΣΑΣ</t>
  </si>
  <si>
    <t>mail@nip-proast.kar.sch.gr</t>
  </si>
  <si>
    <t>ΠΡΟΑΣΤΙΟΥ</t>
  </si>
  <si>
    <t>ΠΡΟΑΣΤΙΟ</t>
  </si>
  <si>
    <t>4ο ΔΗΜΟΤΙΚΟ ΣΧΟΛΕΙΟ ΚΑΡΔΙΤΣΑΣ</t>
  </si>
  <si>
    <t>mail@4dim-kardits.kar.sch.gr</t>
  </si>
  <si>
    <t>ΑΓΙΟΥ ΡΑΦΑΗΛ 2</t>
  </si>
  <si>
    <t>5ο ΝΗΠΙΑΓΩΓΕΙΟ ΚΑΡΔΙΤΣΑΣ</t>
  </si>
  <si>
    <t>mail@5nip-kardits.kar.sch.gr</t>
  </si>
  <si>
    <t>ΚΟΥΜΟΥΝΔΟΥΡΟΥ 108</t>
  </si>
  <si>
    <t>2ο ΝΗΠΙΑΓΩΓΕΙΟ ΚΑΡΔΙΤΣΑ</t>
  </si>
  <si>
    <t>mail@2nip-kardits.kar.sch.gr</t>
  </si>
  <si>
    <t>ΕΥΜΕΝΟΥΣ-ΣΕΛΛΑΝΩΝ</t>
  </si>
  <si>
    <t>4ο ΔΗΜΟΤΙΚΟ ΣΧΟΛΕΙΟ ΣΟΦΑΔΩΝ</t>
  </si>
  <si>
    <t>mail@4dim-sofad.kar.sch.gr</t>
  </si>
  <si>
    <t>ΠΑΛΑΙΟΣ ΟΙΚΙΣΜΟΣ ΡΟΜΑ</t>
  </si>
  <si>
    <t>13ο ΝΗΠΙΑΓΩΓΕΙΟ ΚΑΡΔΙΤΣΑΣ</t>
  </si>
  <si>
    <t>mail@13nip-kardits.kar.sch.gr</t>
  </si>
  <si>
    <t>Λάμπρου Σακελλαρίου  53</t>
  </si>
  <si>
    <t>19ο ΔΗΜΟΤΙΚΟ ΣΧΟΛΕΙΟ ΚΑΡΔΙΤΣΑΣ</t>
  </si>
  <si>
    <t>mail@19dim-diap-kardits.kar.sch.gr</t>
  </si>
  <si>
    <t>ΑΙΣΩΠΟΥ 2</t>
  </si>
  <si>
    <t>3ο ΔΗΜΟΤΙΚΟ ΣΧΟΛΕΙΟ ΠΑΛΑΜΑ</t>
  </si>
  <si>
    <t>mail@3dim-palam.kar.sch.gr</t>
  </si>
  <si>
    <t>28ΗΣ ΟΚΤΩΒΡΙΟΥ ΚΑΙ ΚΥΠΡΟΥ</t>
  </si>
  <si>
    <t>8ο ΝΗΠΙΑΓΩΓΕΙΟ ΚΑΡΔΙΤΣΑΣ</t>
  </si>
  <si>
    <t>mail@8nip-kardits.kar.sch.gr</t>
  </si>
  <si>
    <t>ΠΕΡΙΚΛΕΟΥΣ ΘΕΟΔΩΡΟΥ 13</t>
  </si>
  <si>
    <t>7ο ΝΗΠΙΑΓΩΓΕΙΟ ΚΑΡΔΙΤΣΑΣ</t>
  </si>
  <si>
    <t>mail@7nip-kardits.kar.sch.gr</t>
  </si>
  <si>
    <t>ΦΑΝΑΡΙΟΥ ΤΕΡΜΑ</t>
  </si>
  <si>
    <t>3ο ΝΗΠΙΑΓΩΓΕΙΟ ΠΑΛΑΜΑ</t>
  </si>
  <si>
    <t>mail@3nip-palam.kar.sch.gr</t>
  </si>
  <si>
    <t>ΠΑΝΑΓΙΩΤΗ ΜΠΑΡΤΖΙΩΚΑ 2</t>
  </si>
  <si>
    <t>ΔΗΜΟΤΙΚΟ ΣΧΟΛΕΙΟ ΜΑΥΡΟΜΜΑΤΙΟΥ ΚΑΡΔΙΤΣΑΣ</t>
  </si>
  <si>
    <t>mail@dim-mavromm.kar.sch.gr</t>
  </si>
  <si>
    <t>ΜΑΥΡΟΜΜΑΤΙ</t>
  </si>
  <si>
    <t>ΜΑΥΡΟΜΜΑΤΙ ΚΑΡΔΙΤΣΑΣ</t>
  </si>
  <si>
    <t>1ο ΝΗΠΙΑΓΩΓΕΙΟ ΚΑΡΔΙΤΣΑΣ</t>
  </si>
  <si>
    <t>mail@1nip-kardits.kar.sch.gr</t>
  </si>
  <si>
    <t>ΒΑΣΙΑΡΔΑΝΗ 97</t>
  </si>
  <si>
    <t>ΔΗΜΟΤΙΚΟ ΣΧΟΛΕΙΟ ΑΡΤΕΣΙΑΝΟΥ</t>
  </si>
  <si>
    <t>mail@dim-artes.kar.sch.gr</t>
  </si>
  <si>
    <t>Αρτεσιανό Καρδίτσας</t>
  </si>
  <si>
    <t>ΑΡΤΕΣΙΑΝΟ</t>
  </si>
  <si>
    <t>ΔΗΜΟΤΙΚΟ ΣΧΟΛΕΙΟ ΚΑΡΔΙΤΣΟΜΑΓΟΥΛΑΣ</t>
  </si>
  <si>
    <t>mail@dim-kardits.kar.sch.gr</t>
  </si>
  <si>
    <t>ΚΑΡΔΙΤΣΟΜΑΓΟΥΛΑ</t>
  </si>
  <si>
    <t>ΑΝΑΠΑΥΣΕΩΣ ΚΑΙ ΑΛΒΑΝΟΜΑΧΩΝ</t>
  </si>
  <si>
    <t>1ο ΔΗΜΟΤΙΚΟ ΣΧΟΛΕΙΟ ΚΑΡΔΙΤΣΑΣ</t>
  </si>
  <si>
    <t>1dimkard@sch.gr</t>
  </si>
  <si>
    <t>Καρδίτσα</t>
  </si>
  <si>
    <t>Βασιαρδάνη 97</t>
  </si>
  <si>
    <t>1ο ΝΗΠΙΑΓΩΓΕΙΟ ΜΟΥΖΑΚΙΟΥ</t>
  </si>
  <si>
    <t>mail@1nip-mouzak.kar.sch.gr</t>
  </si>
  <si>
    <t>ΜΟΥΖΑΚΙ</t>
  </si>
  <si>
    <t>18ο  ΔΗΜΟΤΙΚΟ ΣΧΟΛΕΙΟ ΚΑΡΔΙΤΣΑΣ</t>
  </si>
  <si>
    <t>mail@18dim-kardits.kar.sch.gr</t>
  </si>
  <si>
    <t>K.ΚΑΒΑΦΗ  ΤΕΡΜΑ</t>
  </si>
  <si>
    <t>9ο ΔΗΜΟΤΙΚΟ ΣΧΟΛΕΙΟ ΚΑΡΔΙΤΣΑΣ</t>
  </si>
  <si>
    <t>mail@9dim-kardits.kar.sch.gr</t>
  </si>
  <si>
    <t>ΤΕΡΜΑ ΔΗΜ ΛΑΠΠΑ</t>
  </si>
  <si>
    <t>10ο ΔΗΜΟΤΙΚΟ ΣΧΟΛΕΙΟ ΚΑΡΔΙΤΣΑΣ</t>
  </si>
  <si>
    <t>mail@10dim-kardits.kar.sch.gr</t>
  </si>
  <si>
    <t>1ο ΔΗΜΟΤΙΚΟ ΣΧΟΛΕΙΟ ΜΟΥΖΑΚΙΟΥ</t>
  </si>
  <si>
    <t>mail@1dim-mouzak.kar.sch.gr</t>
  </si>
  <si>
    <t>ΑΓΙΑΣ ΣΩΤΗΡΑΣ &amp; ΑΡΓΙΘΕΑΣ</t>
  </si>
  <si>
    <t>2ο ΔΗΜΟΤΙΚΟ ΣΧΟΛΕΙΟ ΚΑΡΔΙΤΣΑΣ</t>
  </si>
  <si>
    <t>mail@2dim-kardits.kar.sch.gr</t>
  </si>
  <si>
    <t>ΑΛΛΑΜΑΝΗ 60</t>
  </si>
  <si>
    <t>2ο ΔΗΜΟΤΙΚΟ ΣΧΟΛΕΙΟ ΜΟΥΖΑΚΙΟΥ</t>
  </si>
  <si>
    <t>mail@dim-mouzak.kar.sch.gr</t>
  </si>
  <si>
    <t>Μουζάκι Καρδίτσας</t>
  </si>
  <si>
    <t>3ο  ΔΗΜΟΤΙΚΟ ΣΧΟΛΕΙΟ ΚΑΡΔΙΤΣΑΣ</t>
  </si>
  <si>
    <t>mail@3dim-kardits.kar.sch.gr</t>
  </si>
  <si>
    <t>Λ ΣΑΚΕΛΑΡΙΟΥ 53</t>
  </si>
  <si>
    <t>14ο  ΔΗΜΟΤΙΚΟ ΣΧΟΛΕΙΟ ΚΑΡΔΙΤΣΑΣ</t>
  </si>
  <si>
    <t>mail@14dim-kardits.kar.sch.gr</t>
  </si>
  <si>
    <t>ΠΑΠΑΡΡΗΓΟΠΟΥΛΟΥ  &amp; ΔΕΛΗΓΙΩΡΓΗ</t>
  </si>
  <si>
    <t>ΔΗΜΟΤΙΚΟ ΣΧΟΛΕΙΟ ΚΑΛΛΙΦΩΝΙΟΥ</t>
  </si>
  <si>
    <t>mail@dim-kallif.kar.sch.gr</t>
  </si>
  <si>
    <t>ΚΑΛΛΙΦΩΝΙ</t>
  </si>
  <si>
    <t>5ο ΔΗΜΟΤΙΚΟ ΣΧΟΛΕΙΟ ΚΑΡΔΙΤΣΑΣ</t>
  </si>
  <si>
    <t>mail@5dim-kardits.kar.sch.gr</t>
  </si>
  <si>
    <t>6ο ΔΗΜΟΤΙΚΟ ΣΧΟΛΕΙΟ ΚΑΡΔΙΤΣΑΣ</t>
  </si>
  <si>
    <t>mail@6dim-kardits.kar.sch.gr</t>
  </si>
  <si>
    <t>ΣΑΡΑΝΤΑΠΟΡΟΥ 89</t>
  </si>
  <si>
    <t>8ο ΔΗΜΟΤΙΚΟ ΣΧΟΛΕΙΟ ΚΑΡΔΙΤΣΑΣ</t>
  </si>
  <si>
    <t>mail@8dim-kardits.kar.sch.gr</t>
  </si>
  <si>
    <t>ΤΙΤΑΝΙΟΥ 5</t>
  </si>
  <si>
    <t>ΔΗΜΟΤΙΚΟ ΣΧΟΛΕΙΟ ΚΥΨΕΛΗΣ ΚΑΡΔΙΤΣΑΣ</t>
  </si>
  <si>
    <t>mail@dim-kypsel.kar.sch.gr</t>
  </si>
  <si>
    <t>ΔΗΜΟΤΙΚΟ ΣΧΟΛΕΙΟ ΛΕΟΝΤΑΡΙΟΥ ΚΑΡΔΙΤΣΑΣ</t>
  </si>
  <si>
    <t>mail@dim-leont.kar.sch.gr</t>
  </si>
  <si>
    <t>ΛΕΟΝΤΑΡΙ</t>
  </si>
  <si>
    <t>ΔΗΜΟΤΙΚΟ ΣΧΟΛΕΙΟ ΠΡΟΑΣΤΙΟΥ ΚΑΡΔΙΤΣΑΣ</t>
  </si>
  <si>
    <t>mail@dim-proast.kar.sch.gr</t>
  </si>
  <si>
    <t>ΠΡΟΑΣΤΙΟ -  ΚΑΡΔΙΤΣΑΣ</t>
  </si>
  <si>
    <t>Π.Ε. ΛΑΡΙΣΑΣ</t>
  </si>
  <si>
    <t>13ο ΝΗΠΙΑΓΩΓΕΙΟ ΛΑΡΙΣΑΣ</t>
  </si>
  <si>
    <t>mail@13nip-laris.lar.sch.gr</t>
  </si>
  <si>
    <t>ΛΑΡΙΣΑΙΩΝ</t>
  </si>
  <si>
    <t>ΛΑΡΙΣΑ</t>
  </si>
  <si>
    <t>ΜΕΡΑΡΧΙΑΣ 2</t>
  </si>
  <si>
    <t>ΝΗΠΙΑΓΩΓΕΙΟ ΝΙΚΑΙΑΣ</t>
  </si>
  <si>
    <t>mail@nip-nikaias.lar.sch.gr</t>
  </si>
  <si>
    <t>ΚΙΛΕΛΕΡ</t>
  </si>
  <si>
    <t>ΝΙΚΑΙΑ, Μ. Μερκούρη 30</t>
  </si>
  <si>
    <t>ΔΗΜΟΤΙΚΟ ΣΧΟΛΕΙΟ ΤΕΡΨΙΘΕΑΣ</t>
  </si>
  <si>
    <t>mail@dim-terps.lar.sch.gr</t>
  </si>
  <si>
    <t>ΤΕΡΨΙΘΕΑ</t>
  </si>
  <si>
    <t>ΤΕΡΨΙΘΕΑ ΛΑΡΙΣΑΣ</t>
  </si>
  <si>
    <t>35ο ΝΗΠΙΑΓΩΓΕΙΟ ΛΑΡΙΣΑΣ</t>
  </si>
  <si>
    <t>mail@35nip-laris.lar.sch.gr</t>
  </si>
  <si>
    <t>ΑΕΡΟΔΡΟΜΙΟ ΛΑΡΙΣΑΣ - ΠΤΕΡΥΓΑ ΜΑΧΗΣ 110</t>
  </si>
  <si>
    <t>3ο ΝΗΠΙΑΓΩΓΕΙΟ ΛΑΡΙΣΑΣ</t>
  </si>
  <si>
    <t>mail@3nip-laris.lar.sch.gr</t>
  </si>
  <si>
    <t>ΑΛΕΥΑΔΩΝ 3</t>
  </si>
  <si>
    <t>8ο ΝΗΠΙΑΓΩΓΕΙΟ ΛΑΡΙΣΑΣ</t>
  </si>
  <si>
    <t>mail@8nip-laris.lar.sch.gr</t>
  </si>
  <si>
    <t>ΡΟΔΟΠΗΣ 41</t>
  </si>
  <si>
    <t>11ο ΝΗΠΙΑΓΩΓΕΙΟ ΛΑΡΙΣΑΣ</t>
  </si>
  <si>
    <t>mail@11nip-laris.lar.sch.gr</t>
  </si>
  <si>
    <t>ΚΟΥΜΟΥΝΔΟΥΡΟΥ 53</t>
  </si>
  <si>
    <t>20ο ΝΗΠΙΑΓΩΓΕΙΟ ΛΑΡΙΣΑΣ</t>
  </si>
  <si>
    <t>mail@20nip-laris.lar.sch.gr</t>
  </si>
  <si>
    <t>ΕΘΝΙΚΗΣ ΑΝΤΙΣΤΑΣΗΣ 35</t>
  </si>
  <si>
    <t>ΝΗΠΙΑΓΩΓΕΙΟ ΚΟΙΛΑΔΑΣ ΛΑΡΙΣΑΣ</t>
  </si>
  <si>
    <t>mail@nip-koilad.lar.sch.gr</t>
  </si>
  <si>
    <t>ΚΟΙΛΑΔΑ</t>
  </si>
  <si>
    <t>25ο ΔΗΜΟΤΙΚΟ ΣΧΟΛΕΙΟ ΛΑΡΙΣΑΣ - "ΟΔΥΣΣΕΑΣ ΕΛΥΤΗΣ"</t>
  </si>
  <si>
    <t>mail@25dim-laris.lar.sch.gr</t>
  </si>
  <si>
    <t>ΠΡΩΤΗΣ  ΜΕΡΑΡΧΙΑΣ 2</t>
  </si>
  <si>
    <t>1ο ΔΗΜΟΤΙΚΟ ΣΧΟΛΕΙΟ ΦΑΛΑΝΗΣ</t>
  </si>
  <si>
    <t>mail@dim-falan.lar.sch.gr</t>
  </si>
  <si>
    <t>ΦΑΛΑΝΗ</t>
  </si>
  <si>
    <t>Κύπρου και Λαρίσης</t>
  </si>
  <si>
    <t>ΔΗΜΟΤΙΚΟ ΣΧΟΛΕΙΟ ΠΥΡΓΕΤΟΥ</t>
  </si>
  <si>
    <t>mail@dim-pyrget.lar.sch.gr</t>
  </si>
  <si>
    <t>ΤΕΜΠΩΝ</t>
  </si>
  <si>
    <t>ΠΥΡΓΕΤΟΣ</t>
  </si>
  <si>
    <t>23ο ΔΗΜΟΤΙΚΟ ΣΧΟΛΕΙΟ ΛΑΡΙΣΑΣ  - ΕΥΑΓΟΡΑΣ ΠΑΛΛΗΚΑΡΙΔΗΣ</t>
  </si>
  <si>
    <t>mail@23dim-laris.lar.sch.gr</t>
  </si>
  <si>
    <t>ΠΕΛΟΠΟΝΝΗΣΟΥ ΚΑΙ Γ. ΙΩΑΝΝΟΥ</t>
  </si>
  <si>
    <t>12ο ΔΗΜΟΤΙΚΟ ΣΧΟΛΕΙΟ ΛΑΡΙΣΑΣ</t>
  </si>
  <si>
    <t>mail@12dim-laris.lar.sch.gr</t>
  </si>
  <si>
    <t>ΑΡΚΑΔΙΟΥ 38</t>
  </si>
  <si>
    <t>15ο ΔΗΜΟΤΙΚΟ ΣΧΟΛΕΙΟ ΛΑΡΙΣΑΣ</t>
  </si>
  <si>
    <t>mail@15dim-laris.lar.sch.gr</t>
  </si>
  <si>
    <t>ΧΑΤΖΟΠΟΥΛΟΥ 1</t>
  </si>
  <si>
    <t>11ο ΔΗΜΟΤΙΚΟ ΣΧΟΛΕΙΟ ΛΑΡΙΣΑΣ</t>
  </si>
  <si>
    <t>mail@11dim-laris.lar.sch.gr</t>
  </si>
  <si>
    <t>ΠΛΑΤΩΝΟΣ 32</t>
  </si>
  <si>
    <t>19ο ΔΗΜΟΤΙΚΟ ΣΧΟΛΕΙΟ ΛΑΡΙΣΑΣ</t>
  </si>
  <si>
    <t>mail@19dim-laris.lar.sch.gr</t>
  </si>
  <si>
    <t>ΑΚΑΡΝΑΝΙΑΣ 32</t>
  </si>
  <si>
    <t>55ο ΝΗΠΙΑΓΩΓΕΙΟ ΛΑΡΙΣΑΣ</t>
  </si>
  <si>
    <t>mail@55nip-laris.lar.sch.gr</t>
  </si>
  <si>
    <t>ΙΟΥΣΤΙΝΙΑΝΟΥ 24</t>
  </si>
  <si>
    <t>17ο ΝΗΠΙΑΓΩΓΕΙΟ ΛΑΡΙΣΑΣ</t>
  </si>
  <si>
    <t>mail@17nip-laris.lar.sch.gr</t>
  </si>
  <si>
    <t>ΘΕΟΦΙΛΟΥ 1 &amp; ΚΑΛΛΙΣΘΕΝΟΥΣ</t>
  </si>
  <si>
    <t>1ο ΔΗΜΟΤΙΚΟ ΣΧΟΛΕΙΟ ΑΓΙΑΣ</t>
  </si>
  <si>
    <t>mail@1dim-agias.lar.sch.gr</t>
  </si>
  <si>
    <t>ΑΓΙΑΣ</t>
  </si>
  <si>
    <t>ΑΓΙΑ</t>
  </si>
  <si>
    <t>ΚΑΝΑΒΑ 1</t>
  </si>
  <si>
    <t>32ο ΔΗΜΟΤΙΚΟ ΣΧΟΛΕΙΟ ΛΑΡΙΣΑΣ</t>
  </si>
  <si>
    <t>mail@32dim-laris.lar.sch.gr</t>
  </si>
  <si>
    <t>2ο ΔΗΜΟΤΙΚΟ ΣΧΟΛΕΙΟ ΑΓΙΑΣ</t>
  </si>
  <si>
    <t>mail@2dim-agias.lar.sch.gr</t>
  </si>
  <si>
    <t>Μ.ΔΑΛΛΑ 1</t>
  </si>
  <si>
    <t>47ο ΝΗΠΙΑΓΩΓΕΙΟ ΛΑΡΙΣΑΣ</t>
  </si>
  <si>
    <t>mail@47nip-laris.lar.sch.gr</t>
  </si>
  <si>
    <t>ΜΑΓΡΙΕ 1</t>
  </si>
  <si>
    <t>38ο ΝΗΠΙΑΓΩΓΕΙΟ ΛΑΡΙΣΑΣ</t>
  </si>
  <si>
    <t>mail@38nip-laris.lar.sch.gr</t>
  </si>
  <si>
    <t>ΙΟΥΣΤΙΝΙΑΝΟΥ 24A</t>
  </si>
  <si>
    <t>21ο ΝΗΠΙΑΓΩΓΕΙΟ ΛΑΡΙΣΑΣ</t>
  </si>
  <si>
    <t>mail@21nip-laris.lar.sch.gr</t>
  </si>
  <si>
    <t>ΓΑΡΙΤΣΙΟΥ-ΕΠΙΣΚΟΠΗΣ</t>
  </si>
  <si>
    <t>1ο ΔΗΜΟΤΙΚΟ ΣΧΟΛΕΙΟ ΛΑΡΙΣΑΣ</t>
  </si>
  <si>
    <t>mail@1dim-laris.lar.sch.gr</t>
  </si>
  <si>
    <t>ΙΟΥΣΤΙΝΙΑΝΟΥ 24Α</t>
  </si>
  <si>
    <t>5ο ΔΗΜΟΤΙΚΟ ΣΧΟΛΕΙΟ ΤΥΡΝΑΒΟΥ</t>
  </si>
  <si>
    <t>mail@5dim-tyrnav.lar.sch.gr</t>
  </si>
  <si>
    <t>ΤΥΡΝΑΒΟΥ</t>
  </si>
  <si>
    <t>ΤΥΡΝΑΒΟΣ</t>
  </si>
  <si>
    <t>ΑΓΙΟΥ ΓΕΔΕΩΝ 77</t>
  </si>
  <si>
    <t>43ο ΝΗΠΙΑΓΩΓΕΙΟ ΛΑΡΙΣΑΣ</t>
  </si>
  <si>
    <t>mail@43nip-laris.lar.sch.gr</t>
  </si>
  <si>
    <t>ΕΘΝΙΚΗΣ ΑΝΤΙΣΤΑΣΕΩΣ 35</t>
  </si>
  <si>
    <t>2ο ΔΗΜΟΤΙΚΟ ΣΧΟΛΕΙΟ ΤΥΡΝΑΒΟΥ</t>
  </si>
  <si>
    <t>mail@2dim-tyrnav.lar.sch.gr</t>
  </si>
  <si>
    <t>ΣΤΡΑΤΗΓΟΥ ΛΙΜΠΡΙΤΗ 2</t>
  </si>
  <si>
    <t>42ο ΔΗΜΟΤΙΚΟ ΣΧΟΛΕΙΟ ΛΑΡΙΣΑΣ</t>
  </si>
  <si>
    <t>mail@42dim-laris.lar.sch.gr</t>
  </si>
  <si>
    <t>ΜΑΝΟΥ ΛΟΪΖΟΥ 21</t>
  </si>
  <si>
    <t>10ο ΔΗΜΟΤΙΚΟ ΣΧΟΛΕΙΟ ΛΑΡΙΣΑΣ</t>
  </si>
  <si>
    <t>mail@10dimlaris-lar.sch.gr</t>
  </si>
  <si>
    <t>ΑΙΟΛΟΥ 2</t>
  </si>
  <si>
    <t>29ο ΝΗΠΙΑΓΩΓΕΙΟ ΛΑΡΙΣΑΣ</t>
  </si>
  <si>
    <t>mail@29nip-laris.lar.sch.gr</t>
  </si>
  <si>
    <t>ΑΥΛΩΝΟΣ - ΑΒΔΗΡΩΝ</t>
  </si>
  <si>
    <t>2ο ΔΗΜΟΤΙΚΟ ΣΧΟΛΕΙΟ ΦΑΡΣΑΛΩΝ</t>
  </si>
  <si>
    <t>mail@2dim-farsal.lar.sch.gr</t>
  </si>
  <si>
    <t>ΦΑΡΣΑΛΩΝ</t>
  </si>
  <si>
    <t>Φάρσαλα</t>
  </si>
  <si>
    <t>ΔΕΥΚΑΛΙΩΝΟΣ 10</t>
  </si>
  <si>
    <t>42ο ΝΗΠΙΑΓΩΓΕΙΟ ΛΑΡΙΣΑΣ</t>
  </si>
  <si>
    <t>mail@42nip-laris.lar.sch.gr</t>
  </si>
  <si>
    <t>ΠΟΛ. ΖΗΛΟΥ - ΚΑΛΑΜΑ</t>
  </si>
  <si>
    <t>56ο ΝΗΠΙΑΓΩΓΕΙΟ ΛΑΡΙΣΑΣ</t>
  </si>
  <si>
    <t>mail@56nip-laris.lar.sch.gr</t>
  </si>
  <si>
    <t>40ο ΝΗΠΙΑΓΩΓΕΙΟ ΛΑΡΙΣΑΣ</t>
  </si>
  <si>
    <t>mail@40nip-laris.lar.sch.gr</t>
  </si>
  <si>
    <t>ΕΛΕΥΘΕΡΙΑΣ 12</t>
  </si>
  <si>
    <t>37ο ΝΗΠΙΑΓΩΓΕΙΟ ΛΑΡΙΣΑΣ</t>
  </si>
  <si>
    <t>mail@37nip-laris.lar.sch.gr</t>
  </si>
  <si>
    <t>ΚΟΥΜΟΥΝΔΟΥΡΟΥ 17-19</t>
  </si>
  <si>
    <t>39ο ΔΗΜΟΤΙΚΟ ΣΧΟΛΕΙΟ ΛΑΡΙΣΑΣ</t>
  </si>
  <si>
    <t>mail@39dim-laris.lar.sch.gr</t>
  </si>
  <si>
    <t>ΠΛΟΥΤΩΝΟΣ 26</t>
  </si>
  <si>
    <t>24ο ΔΗΜΟΤΙΚΟ ΣΧΟΛΕΙΟ ΛΑΡΙΣΑΣ</t>
  </si>
  <si>
    <t>mail@24dim-laris.lar.sch.gr</t>
  </si>
  <si>
    <t>ΝΑΟΥ ΑΝΩΝΥΜΩΝ &amp; ΔΟΛΟΠΩΝ 5</t>
  </si>
  <si>
    <t>29ο ΔΗΜΟΤΙΚΟ ΣΧΟΛΕΙΟ ΛΑΡΙΣΑΣ</t>
  </si>
  <si>
    <t>mail@29dim-laris.lar.sch.gr</t>
  </si>
  <si>
    <t>31ης ΑΥΓΟΥΣΤΟΥ 34</t>
  </si>
  <si>
    <t>33ο ΔΗΜΟΤΙΚΟ ΣΧΟΛΕΙΟ ΛΑΡΙΣΑΣ</t>
  </si>
  <si>
    <t>mail@33dim-laris.lar.sch.gr</t>
  </si>
  <si>
    <t>A.AΡΒΑΝΙΤΟΠΟΥΛΟΥ ΚΑΙ ΣΚΟΠΙΑΣ</t>
  </si>
  <si>
    <t>57o ΝΗΠΙΑΓΩΓΕΙΟ ΛΑΡΙΣΑΣ</t>
  </si>
  <si>
    <t>mail@57nip-laris.lar.sch.gr</t>
  </si>
  <si>
    <t>ΓΑΡΙΤΣΙΟΥ - ΛΕΥΚΙΠΠΟΥ</t>
  </si>
  <si>
    <t>1ο ΔΗΜΟΤΙΚΟ ΣΧΟΛΕΙΟ ΓΙΑΝΝΟΥΛΗΣ</t>
  </si>
  <si>
    <t>mail@1dim-giann.lar.sch.gr</t>
  </si>
  <si>
    <t>ΓΙΑΝΝΟΥΛΗ</t>
  </si>
  <si>
    <t>ΚΟΥΛΟΥΨΟΥΖΗ 25</t>
  </si>
  <si>
    <t>36ο ΝΗΠΙΑΓΩΓΕΙΟ ΛΑΡΙΣΑΣ</t>
  </si>
  <si>
    <t>mail@36nip-laris.lar.sch.gr</t>
  </si>
  <si>
    <t>ΗΠΕΙΡΟΥ 34</t>
  </si>
  <si>
    <t>ΔΗΜΟΤΙΚΟ ΣΧΟΛΕΙΟ ΔΑΜΑΣΙΟΥ</t>
  </si>
  <si>
    <t>mail@dim-damas.lar.sch.gr</t>
  </si>
  <si>
    <t>ΔΑΜΑΣΙ</t>
  </si>
  <si>
    <t>ΚΟΙΝΟΤΙΚΗ</t>
  </si>
  <si>
    <t>9ο ΝΗΠΙΑΓΩΓΕΙΟ ΛΑΡΙΣΑΣ</t>
  </si>
  <si>
    <t>mail@9nip-laris.lar.sch.gr</t>
  </si>
  <si>
    <t>ΑΙΟΛΟΥ 4</t>
  </si>
  <si>
    <t>ΔΗΜΟΤΙΚΟ ΣΧΟΛΕΙΟ ΒΕΡΔΙΚΟΥΣΙΑΣ</t>
  </si>
  <si>
    <t>mail@dim-verdik.lar.sch.gr</t>
  </si>
  <si>
    <t>ΕΛΑΣΣΟΝΑΣ</t>
  </si>
  <si>
    <t>ΒΕΡΔΙΚΟΥΣΙΑ</t>
  </si>
  <si>
    <t>ΑΝΑΠΑΥΣΕΩΣ 5</t>
  </si>
  <si>
    <t>1ο ΝΗΠΙΑΓΩΓΕΙΟ ΦΑΡΣΑΛΩΝ</t>
  </si>
  <si>
    <t>mail@1nip-farsal.lar.sch.gr</t>
  </si>
  <si>
    <t>ΦΑΡΣΑΛΑ</t>
  </si>
  <si>
    <t>Β. ΜΑΥΡΟΓΙΩΡΓΟΥ 19</t>
  </si>
  <si>
    <t>37ο ΔΗΜΟΤΙΚΟ ΣΧΟΛΕΙΟ ΛΑΡΙΣΑΣ</t>
  </si>
  <si>
    <t>mail@37dim-laris.lar.sch.gr</t>
  </si>
  <si>
    <t>ΚΟΥΜΟΥΝΔΟΥΡΟΥ 19</t>
  </si>
  <si>
    <t>3ο ΝΗΠΙΑΓΩΓΕΙΟ ΕΛΑΣΣΟΝΑΣ</t>
  </si>
  <si>
    <t>mail@3nip-elass.lar.sch.gr</t>
  </si>
  <si>
    <t>Κ. ΟΙΚΟΝΟΜΟΥ</t>
  </si>
  <si>
    <t>21ο ΔΗΜΟΤΙΚΟ ΣΧΟΛΕΙΟ ΛΑΡΙΣΑΣ</t>
  </si>
  <si>
    <t>mail@21dim-laris.lar.sch.gr</t>
  </si>
  <si>
    <t>ΚΛ. ΠΑΤΕΡΑ 1</t>
  </si>
  <si>
    <t>4ο ΔΗΜΟΤΙΚΟ ΣΧΟΛΕΙΟ ΛΑΡΙΣΑΣ</t>
  </si>
  <si>
    <t>mail@4dim-laris.lar.sch.gr</t>
  </si>
  <si>
    <t>ΚΟΥΜΟΥΝΔΟΥΡΟΥ 17</t>
  </si>
  <si>
    <t>4ο ΔΗΜΟΤΙΚΟ ΣΧΟΛΕΙΟ ΦΑΡΣΑΛΩΝ</t>
  </si>
  <si>
    <t>mail@4dim-farsal.lar.sch.gr</t>
  </si>
  <si>
    <t>Β. ΟΥΓΚΩ 1</t>
  </si>
  <si>
    <t>3ο ΔΗΜΟΤΙΚΟ ΣΧΟΛΕΙΟ ΛΑΡΙΣΑΣ</t>
  </si>
  <si>
    <t>mail@3dim-laris.lar.sch.gr</t>
  </si>
  <si>
    <t>27ο ΔΗΜΟΤΙΚΟ ΣΧΟΛΕΙΟ ΛΑΡΙΣΑΣ</t>
  </si>
  <si>
    <t>mail@27dim-laris.lar.sch.gr</t>
  </si>
  <si>
    <t>ΗΡΑΚΛΕΙΑΝΟΥ 36</t>
  </si>
  <si>
    <t>17ο ΔΗΜΟΤΙΚΟ ΣΧΟΛΕΙΟ ΛΑΡΙΣΑΣ</t>
  </si>
  <si>
    <t>mail@17dim-laris.lar.sch.gr</t>
  </si>
  <si>
    <t>1ο ΔΗΜΟΤΙΚΟ ΣΧΟΛΕΙΟ ΤΥΡΝΑΒΟΥ</t>
  </si>
  <si>
    <t>mail@1dim-tyrnav.lar.sch.gr</t>
  </si>
  <si>
    <t>Δ. &amp; Α. ΒΟΓΙΑΤΖΗ ΤΕΡΜΑ</t>
  </si>
  <si>
    <t>14ο ΔΗΜΟΤΙΚΟ ΣΧΟΛΕΙΟ ΛΑΡΙΣΑΣ-ΙΠΠΟΚΡΑΤΗΣ</t>
  </si>
  <si>
    <t>mail@14dim-laris.lar.sch.gr</t>
  </si>
  <si>
    <t>ΓΕΡΟΥΛΑΝΟΥ 2</t>
  </si>
  <si>
    <t>5ο ΔΗΜΟΤΙΚΟ ΣΧΟΛΕΙΟ ΛΑΡΙΣΑΣ</t>
  </si>
  <si>
    <t>mail@5dim-laris.lar.sch.gr</t>
  </si>
  <si>
    <t>ΧΡΥΣΟΧΟΟΥ 2</t>
  </si>
  <si>
    <t>3ο ΔΗΜΟΤΙΚΟ ΣΧΟΛΕΙΟ ΦΑΡΣΑΛΩΝ</t>
  </si>
  <si>
    <t>3dimfarsallar@sch.gr</t>
  </si>
  <si>
    <t>ΤΖΑΒΕΛΑ 2</t>
  </si>
  <si>
    <t>ΔΗΜΟΤΙΚΟ ΣΧΟΛΕΙΟ ΣΤΟΜΙΟΥ ΛΑΡΙΣΑΣ</t>
  </si>
  <si>
    <t>mail@dim-stomiou.lar.sch.gr</t>
  </si>
  <si>
    <t>ΣΤΟΜΙΟ ΛΑΡΙΣΑΣ</t>
  </si>
  <si>
    <t>1ο ΔΗΜΟΤΙΚΟ ΣΧΟΛΕΙΟ ΑΜΠΕΛΩΝΑ</t>
  </si>
  <si>
    <t>mail@1dim-ampel.lar.sch.gr</t>
  </si>
  <si>
    <t>ΑΜΠΕΛΩΝΑΣ</t>
  </si>
  <si>
    <t>ΓΡΗΓ. ΛΑΜΠΡΑΚΗ 3</t>
  </si>
  <si>
    <t>2ο ΝΗΠΙΑΓΩΓΕΙΟ ΑΓΙΑΣ</t>
  </si>
  <si>
    <t>mail@2nip-agias.lar.sch.gr</t>
  </si>
  <si>
    <t>1ο ΝΗΠΙΑΓΩΓΕΙΟ ΑΓΙΑΣ</t>
  </si>
  <si>
    <t>mail@1nip-agias.lar.sch.gr</t>
  </si>
  <si>
    <t>ΒΑΣΙΛΕΙΟΥ  ΜΕΛΑ 22</t>
  </si>
  <si>
    <t>9ο ΔΗΜΟΤΙΚΟ ΣΧΟΛΕΙΟ ΛΑΡΙΣΑΣ</t>
  </si>
  <si>
    <t>mail@9dim-laris.lar.sch.gr</t>
  </si>
  <si>
    <t>ΑΛΕΥΑΔΩΝ 1</t>
  </si>
  <si>
    <t>ΔΗΜΟΤΙΚΟ ΣΧΟΛΕΙΟ ΑΡΓΥΡΟΠΟΥΛΙΟΥ</t>
  </si>
  <si>
    <t>mail@dim-argyr.lar.sch.gr</t>
  </si>
  <si>
    <t>ΑΡΓΥΡΟΠΟΥΛΙ ΤΥΡΝΑΒΟΥ</t>
  </si>
  <si>
    <t>5ο ΝΗΠΙΑΓΩΓΕΙΟ ΦΑΡΣΑΛΩΝ</t>
  </si>
  <si>
    <t>mail@5nip-farsal.lar.sch.gr</t>
  </si>
  <si>
    <t>ΚΑΠΟΔΙΣΤΡΙΟΥ 3</t>
  </si>
  <si>
    <t>27ο ΝΗΠΙΑΓΩΓΕΙΟ ΛΑΡΙΣΑΣ</t>
  </si>
  <si>
    <t>mail@27nip-laris.lar.sch.gr</t>
  </si>
  <si>
    <t>ΑΝΤΩΝΙΟΥ ΦΑΣΟΥΛΑ 16</t>
  </si>
  <si>
    <t>23ο ΝΗΠΙΑΓΩΓΕΙΟ ΛΑΡΙΣΑΣ</t>
  </si>
  <si>
    <t>mail@23nip-laris.lar.sch.gr</t>
  </si>
  <si>
    <t>ΛΑΡΙΣΑΣ</t>
  </si>
  <si>
    <t>Γ. ΙΩΑΝΝΟΥ ΠΕΛΟΠΟΝΝΗΣΟΥ</t>
  </si>
  <si>
    <t>ΔΗΜΟΤΙΚΟ ΣΧΟΛΕΙΟ ΣΥΚΟΥΡΙΟΥ</t>
  </si>
  <si>
    <t>mail@dim-sykour.lar.sch.gr</t>
  </si>
  <si>
    <t>ΣΥΚΟΥΡΙΟ</t>
  </si>
  <si>
    <t>Συκούριο</t>
  </si>
  <si>
    <t>ΔΗΜΟΤΙΚΟ ΣΧΟΛΕΙΟ ΕΥΑΓΓΕΛΙΣΜΟΥ-ΕΛΑΣΣΟΝΑΣ</t>
  </si>
  <si>
    <t>mail@dim-evang.lar.sch.gr</t>
  </si>
  <si>
    <t>ΕΥΑΓΓΕΛΙΣΜΟΣ</t>
  </si>
  <si>
    <t>ΕΥΑΓΓΕΛΙΣΜΟΣ- ΕΛΑΣΣΟΝΑΣ</t>
  </si>
  <si>
    <t>6ο ΔΗΜΟΤΙΚΟ ΣΧΟΛΕΙΟ ΛΑΡΙΣΑΣ</t>
  </si>
  <si>
    <t>mail@6dim-laris.lar.sch.gr</t>
  </si>
  <si>
    <t>31ΗΣ ΑΥΓΟΥΣΤΟΥ 34</t>
  </si>
  <si>
    <t>1ο ΔΗΜΟΤΙΚΟ ΣΧΟΛΕΙΟ ΠΛΑΤΥΚΑΜΠΟΥ</t>
  </si>
  <si>
    <t>mail@1dim-platyk.lar.sch.gr</t>
  </si>
  <si>
    <t>ΠΛΑΤΥΚΑΜΠΟΣ</t>
  </si>
  <si>
    <t>ΠΛΑΤΥΚΑΜΠΟΣ ΛΑΡΙΣΑΣ</t>
  </si>
  <si>
    <t>43ο ΔΗΜΟΤΙΚΟ ΣΧΟΛΕΙΟ ΛΑΡΙΣΑΣ</t>
  </si>
  <si>
    <t>mail@43dim-laris.lar.sch.gr</t>
  </si>
  <si>
    <t>2ο ΝΗΠΙΑΓΩΓΕΙΟ ΛΑΡΙΣΑΣ</t>
  </si>
  <si>
    <t>mail@2nip-laris.lar.sch.gr</t>
  </si>
  <si>
    <t>19ο ΝΗΠΙΑΓΩΓΕΙΟ ΛΑΡΙΣΑΣ</t>
  </si>
  <si>
    <t>mail@19nip-laris.lar.sch.gr</t>
  </si>
  <si>
    <t>31ο ΝΗΠΙΑΓΩΓΕΙΟ ΛΑΡΙΣΑΣ</t>
  </si>
  <si>
    <t>mail@31nip-laris.lar.sch.gr</t>
  </si>
  <si>
    <t>ΕΥΚΛΕΙΔΟΥ 11</t>
  </si>
  <si>
    <t>3ο ΔΗΜΟΤΙΚΟ ΣΧΟΛΕΙΟ ΓΙΑΝΝΟΥΛΗΣ</t>
  </si>
  <si>
    <t>mail@3dim-giann.lar.sch.gr</t>
  </si>
  <si>
    <t>7ο ΔΗΜΟΤΙΚΟ ΣΧΟΛΕΙΟ ΛΑΡΙΣΑΣ</t>
  </si>
  <si>
    <t>mail@7dim-laris.lar.sch.gr</t>
  </si>
  <si>
    <t>30ο ΔΗΜΟΤΙΚΟ ΣΧΟΛΕΙΟ ΛΑΡΙΣΑΣ</t>
  </si>
  <si>
    <t>mail@30dim-laris.lar.sch.gr</t>
  </si>
  <si>
    <t>26ο ΔΗΜΟΤΙΚΟ ΣΧΟΛΕΙΟ ΛΑΡΙΣΑΣ</t>
  </si>
  <si>
    <t>mail@26dim-laris.lar.sch.gr</t>
  </si>
  <si>
    <t>ΑΥΛΩΝΟΣ ΚΑΙ ΑΒΔΗΡΩΝ</t>
  </si>
  <si>
    <t>2ο ΔΗΜΟΤΙΚΟ ΣΧΟΛΕΙΟ ΛΑΡΙΣΑΣ</t>
  </si>
  <si>
    <t>mail@2dim-laris.lar.sch.gr</t>
  </si>
  <si>
    <t>Λάρισα</t>
  </si>
  <si>
    <t>1ο ΝΗΠΙΑΓΩΓΕΙΟ ΕΛΑΣΣΟΝΑΣ</t>
  </si>
  <si>
    <t>mail@1nip-elass.lar.sch.gr</t>
  </si>
  <si>
    <t>ΕΛΑΣΣΟΝΑ</t>
  </si>
  <si>
    <t>ΑΜΑΖΟΝΩΝ -</t>
  </si>
  <si>
    <t>2ο ΝΗΠΙΑΓΩΓΕΙΟ ΕΛΑΣΣΟΝΑΣ</t>
  </si>
  <si>
    <t>mail@2nip-elass.lar.sch.gr</t>
  </si>
  <si>
    <t>ΠΡΩΤΗΣ ΜΕΡΑΡΧΙΑΣ ΤΕΡΜΑ</t>
  </si>
  <si>
    <t>3ο ΝΗΠΙΑΓΩΓΕΙΟ ΑΜΠΕΛΩΝΑ</t>
  </si>
  <si>
    <t>mail@3nip-ampel.lar.sch.gr</t>
  </si>
  <si>
    <t>ΦΕΙΔΙΟΥ 2</t>
  </si>
  <si>
    <t>ΝΗΠΙΑΓΩΓΕΙΟ ΠΥΡΓΕΤΟΥ ΛΑΡΙΣΑΣ</t>
  </si>
  <si>
    <t>mail@nip-pyrget.lar.sch.gr</t>
  </si>
  <si>
    <t>25ο ΝΗΠΙΑΓΩΓΕΙΟ ΛΑΡΙΣΑΣ</t>
  </si>
  <si>
    <t>mail@25nip-laris.lar.sch.gr</t>
  </si>
  <si>
    <t>32ο ΝΗΠΙΑΓΩΓΕΙΟ ΛΑΡΙΣΑΣ</t>
  </si>
  <si>
    <t>mail@32nip-laris.lar.sch.gr</t>
  </si>
  <si>
    <t>ΑΓΙΑΣ 2</t>
  </si>
  <si>
    <t>ΝΗΠΙΑΓΩΓΕΙΟ ΓΟΝΝΩΝ</t>
  </si>
  <si>
    <t>mail@nip-gonnon.lar.sch.gr</t>
  </si>
  <si>
    <t>ΓΟΝΝΟΙ</t>
  </si>
  <si>
    <t>7ο ΝΗΠΙΑΓΩΓΕΙΟ ΛΑΡΙΣΑΣ</t>
  </si>
  <si>
    <t>mail@7nip-laris.lar.sch.gr</t>
  </si>
  <si>
    <t>22ο ΝΗΠΙΑΓΩΓΕΙΟ ΛΑΡΙΣΑΣ</t>
  </si>
  <si>
    <t>mail@22nip-laris.lar.sch.gr</t>
  </si>
  <si>
    <t>ΠΑΡΝΗΘΟΣ 21</t>
  </si>
  <si>
    <t>13ο ΔΗΜΟΤΙΚΟ ΣΧΟΛΕΙΟ ΛΑΡΙΣΑΣ</t>
  </si>
  <si>
    <t>mail@13dim-laris.lar.sch.gr</t>
  </si>
  <si>
    <t>ΛΕΜΕΣΟΥ 13</t>
  </si>
  <si>
    <t>16ο ΔΗΜΟΤΙΚΟ ΣΧΟΛΕΙΟ ΛΑΡΙΣΑΣ</t>
  </si>
  <si>
    <t>mail@16dim-laris.lar.sch.gr</t>
  </si>
  <si>
    <t>18ο ΔΗΜΟΤΙΚΟ ΣΧΟΛΕΙΟ ΛΑΡΙΣΑΣ</t>
  </si>
  <si>
    <t>mail@18dim-laris.lar.sch.gr</t>
  </si>
  <si>
    <t>22ο ΔΗΜΟΤΙΚΟ ΣΧΟΛΕΙΟ ΛΑΡΙΣΑΣ</t>
  </si>
  <si>
    <t>mail@22dim-laris.lar.sch.gr</t>
  </si>
  <si>
    <t>ΚΑΛΛΙΣΘΕΝΗ  2</t>
  </si>
  <si>
    <t>ΔΗΜΟΤΙΚΟ ΣΧΟΛΕΙΟ ΝΙΚΑΙΑΣ</t>
  </si>
  <si>
    <t>mail@dim-nikaias.lar.sch.gr</t>
  </si>
  <si>
    <t>ΕΘΝΑΡΧΟΥ ΜΑΚΑΡΙΟΥ 2, ΝΙΚΑΙΑ ΛΑΡΙΣΑΣ</t>
  </si>
  <si>
    <t>1ο ΝΗΠΙΑΓΩΓΕΊΟ ΛΑΡΙΣΑΣ</t>
  </si>
  <si>
    <t>mail@1nip-laris.lar.sch.gr</t>
  </si>
  <si>
    <t>ΕΡΜΟΓΕΝΟΥΣ 1</t>
  </si>
  <si>
    <t>33ο ΝΗΠΙΑΓΩΓΕΙΟ ΛΑΡΙΣΑΣ</t>
  </si>
  <si>
    <t>mail@33nip-laris.lar.sch.gr</t>
  </si>
  <si>
    <t>ΧΡΥΣΟΧΟΟΥ  2</t>
  </si>
  <si>
    <t>16ο ΝΗΠΙΑΓΩΓΕΙΟ ΛΑΡΙΣΑΣ</t>
  </si>
  <si>
    <t>mail@16nip-laris.lar.sch.gr</t>
  </si>
  <si>
    <t>ΜΥΡΩΝ 2</t>
  </si>
  <si>
    <t>3ο ΝΗΠΙΑΓΩΓΕΙΟ ΓΙΑΝΝΟΥΛΗΣ</t>
  </si>
  <si>
    <t>mail@3nip-giann.lar.sch.gr</t>
  </si>
  <si>
    <t>ΕΡΓΑΤΙΚΕΣ ΚΑΤΟΙΚΙΕΣ ΓΙΑΝΝΟΥΛΗΣ</t>
  </si>
  <si>
    <t>2ο ΝΗΠΙΑΓΩΓΕΙΟ ΤΥΡΝΑΒΟΥ</t>
  </si>
  <si>
    <t>mail@2nip-tyrnav.lar.sch.gr</t>
  </si>
  <si>
    <t>ΑΓΙΟΥ ΓΕΩΡΓΙΟΥ 17</t>
  </si>
  <si>
    <t>4ο ΝΗΠΙΑΓΩΓΕΙΟ ΤΥΡΝΑΒΟΥ</t>
  </si>
  <si>
    <t>mail@4nip-tyrnav.lar.sch.gr</t>
  </si>
  <si>
    <t>ΘΕΟΤΟΚΟΠΟΥΛΟΥ 10</t>
  </si>
  <si>
    <t>3ο ΝΗΠΙΑΓΩΓΕΙΟ ΤΥΡΝΑΒΟΥ</t>
  </si>
  <si>
    <t>mail@3nip-tyrnav.lar.sch.gr</t>
  </si>
  <si>
    <t>ΑΓΙΟΥ ΓΕΔΕΩΝ 81</t>
  </si>
  <si>
    <t>1ο ΝΗΠΙΑΓΩΓΕΙΟ ΤΥΡΝΑΒΟΥ</t>
  </si>
  <si>
    <t>mail@1nip-tyrnav.lar.sch.gr</t>
  </si>
  <si>
    <t>2ο ΝΗΠΙΑΓΩΓΕΙΟ ΓΙΑΝΝΟΥΛΗΣ</t>
  </si>
  <si>
    <t>mail@2nip-giann.lar.sch.gr</t>
  </si>
  <si>
    <t>ΣΤΑΔΙΟΥ 12</t>
  </si>
  <si>
    <t>1ο ΝΗΠΙΑΓΩΓΕΙΟ ΓΙΑΝΝΟΥΛΗΣ</t>
  </si>
  <si>
    <t>mail@1nip-giann.lar.sch.gr</t>
  </si>
  <si>
    <t>ΓΕΩΡΓΑΚΗ ΟΛΥΜΠΙΟΥ</t>
  </si>
  <si>
    <t>2ο ΝΗΠΙΑΓΩΓΕΙΟ ΑΜΠΕΛΩΝΑ</t>
  </si>
  <si>
    <t>mail@2nip-ampel.lar.sch.gr</t>
  </si>
  <si>
    <t>12ο ΝΗΠΙΑΓΩΓΕΙΟ ΛΑΡΙΣΑΣ</t>
  </si>
  <si>
    <t>mail@12nip-laris.lar.sch.gr</t>
  </si>
  <si>
    <t>6ο ΝΗΠΙΑΓΩΓΕΙΟ ΤΥΡΝΑΒΟΥ</t>
  </si>
  <si>
    <t>mail@6nip-tyrnav.lar.sch.gr</t>
  </si>
  <si>
    <t>Δ. &amp; Α. ΒΟΓΙΑΤΖΗ</t>
  </si>
  <si>
    <t>ΔΗΜΟΤΙΚΟ ΣΧΟΛΕΙΟ ΜΑΚΡΥΧΩΡΙΟΥ ΛΑΡΙΣΑΣ</t>
  </si>
  <si>
    <t>mail@dim-makrych.lar.sch.gr</t>
  </si>
  <si>
    <t>ΜΑΚΡΥΧΩΡΙ ΛΑΡΙΣΑΣ</t>
  </si>
  <si>
    <t>ΔΗΜΟΤΙΚΟ ΣΧΟΛΕΙΟ ΒΛΑΧΟΓΙΑΝΝΙΟΥ</t>
  </si>
  <si>
    <t>mail@dim-vlach.lar.sch.gr</t>
  </si>
  <si>
    <t>ΒΛΑΧΟΓΙΑΝΝΙ</t>
  </si>
  <si>
    <t>1ο ΔΗΜΟΤΙΚΟ ΣΧΟΛΕΙΟ ΦΑΡΣΑΛΩΝ</t>
  </si>
  <si>
    <t>mail@1dim-farsal.lar.sch.gr</t>
  </si>
  <si>
    <t>ΜΑΥΡΟΓΙΩΡΓΟΥ 19</t>
  </si>
  <si>
    <t>2ο ΔΗΜΟΤΙΚΟ ΣΧΟΛΕΙΟ ΓΙΑΝΝΟΥΛΗΣ</t>
  </si>
  <si>
    <t>mail@2dim-giann.lar.sch.gr</t>
  </si>
  <si>
    <t>3ο ΔΗΜΟΤΙΚΟ ΣΧΟΛΕΙΟ ΑΜΠΕΛΩΝΑ</t>
  </si>
  <si>
    <t>3dimampel@sch.gr</t>
  </si>
  <si>
    <t>4ο ΔΗΜΟΤΙΚΟ ΣΧΟΛΕΙΟ ΤΥΡΝΑΒΟΥ</t>
  </si>
  <si>
    <t>mail@4dim-tyrnav.lar.sch.gr</t>
  </si>
  <si>
    <t>ΟΔΟΣ ΕΙΚΟΣΙ ΕΞΙ 30</t>
  </si>
  <si>
    <t>3ο ΔΗΜΟΤΙΚΟ ΣΧΟΛΕΙΟ ΤΥΡΝΑΒΟΥ</t>
  </si>
  <si>
    <t>mail@3dim-tyrnav.lar.sch.gr</t>
  </si>
  <si>
    <t>2ο ΔΗΜΟΤΙΚΟ ΣΧΟΛΕΙΟ ΕΛΑΣΣΟΝΑΣ</t>
  </si>
  <si>
    <t>mail@2dim-elass.lar.sch.gr</t>
  </si>
  <si>
    <t>1ης  ΜΕΡΑΡΧΙΑΣ ΤΕΡΜΑ</t>
  </si>
  <si>
    <t>20ο ΔΗΜΟΤΙΚΟ ΣΧΟΛΕΙΟ ΛΑΡΙΣΑΣ</t>
  </si>
  <si>
    <t>mail@20dim-laris.lar.sch.gr</t>
  </si>
  <si>
    <t>3ο ΔΗΜΟΤΙΚΟ ΣΧΟΛΕΙΟ ΕΛΑΣΣΟΝΑΣ</t>
  </si>
  <si>
    <t>mail@3dim-elass.lar.sch.gr</t>
  </si>
  <si>
    <t>ΟΙΚΟΝΟΜΟΥ</t>
  </si>
  <si>
    <t>ΔΗΜΟΤΙΚΟ ΣΧΟΛΕΙΟ ΚΑΛΛΙΘΕΑΣ ΕΛΑΣΣΟΝΑΣ</t>
  </si>
  <si>
    <t>mail@dim-kallith.lar.sch.gr</t>
  </si>
  <si>
    <t xml:space="preserve">Καλλιθέα </t>
  </si>
  <si>
    <t>Καλλιθέα Ελασσόνας</t>
  </si>
  <si>
    <t>ΔΗΜΟΤΙΚΟ ΣΧΟΛΕΙΟ ΛΙΒΑΔΙΟΥ</t>
  </si>
  <si>
    <t>mail@dim-livad.lar.sch.gr</t>
  </si>
  <si>
    <t>ΛΙΒΑΔΙ</t>
  </si>
  <si>
    <t>36ο ΔΗΜΟΤΙΚΟ ΣΧΟΛΕΙΟ ΛΑΡΙΣΑΣ</t>
  </si>
  <si>
    <t>mail@36dim-laris.lar.sch.gr</t>
  </si>
  <si>
    <t>ΔΗΜΟΤΙΚΟ ΣΧΟΛΕΙΟ ΒΑΜΒΑΚΟΥΣ</t>
  </si>
  <si>
    <t>mail@dim-vamvak.lar.sch.gr</t>
  </si>
  <si>
    <t>Βαμβακού</t>
  </si>
  <si>
    <t>Βαμβακού  Φαρσάλων</t>
  </si>
  <si>
    <t>1ο ΔΗΜΟΤΙΚΟ ΣΧΟΛΕΙΟ ΕΛΑΣΣΟΝΑΣ</t>
  </si>
  <si>
    <t>mail@1dim-elass.lar.sch.gr</t>
  </si>
  <si>
    <t>ΙΩΑΝ. ΜΑΥΡΟΔΗΜΟΥ ΤΕΡΜΑ</t>
  </si>
  <si>
    <t>1ο ΔΗΜΟΤΙΚΟ ΣΧΟΛΕΙΟ ΤΣΑΡΙΤΣΑΝΗΣ</t>
  </si>
  <si>
    <t>mail@1dim-tsarits.lar.sch.gr</t>
  </si>
  <si>
    <t>Τσαριτσάνη</t>
  </si>
  <si>
    <t>Τσαριτσάνη Ελασσόνας</t>
  </si>
  <si>
    <t>31ο ΔΗΜΟΤΙΚΟ ΣΧΟΛΕΙΟ ΛΑΡΙΣΑΣ</t>
  </si>
  <si>
    <t>mail@31dim-laris.lar.sch.gr</t>
  </si>
  <si>
    <t>ΔΗΜΟΤΙΚΟ ΣΧΟΛΕΙΟ ΓΟΝΝΩΝ</t>
  </si>
  <si>
    <t>mail@dim-gonnon.lar.sch.gr</t>
  </si>
  <si>
    <t>ΓΟΝΝΟΙ ΛΑΡΙΣΑΣ</t>
  </si>
  <si>
    <t>38ο ΔΗΜΟΤΙΚΟ ΣΧΟΛΕΙΟ ΛΑΡΙΣΑΣ</t>
  </si>
  <si>
    <t>mail@38dim-laris.lar.sch.gr</t>
  </si>
  <si>
    <t>2ο ΔΗΜΟΤΙΚΟ ΣΧΟΛΕΙΟ ΑΜΠΕΛΩΝΑ</t>
  </si>
  <si>
    <t>mail@2dim-ampel.lar.sch.gr</t>
  </si>
  <si>
    <t>ΓΕΩΡΓΙΟΥ ΣΑΝΤΙΚΟΥ 1</t>
  </si>
  <si>
    <t>44ο ΔΗΜΟΤΙΚΟ ΣΧΟΛΕΙΟ ΛΑΡΙΣΑΣ</t>
  </si>
  <si>
    <t>mail@44dim-laris.lar.sch.gr</t>
  </si>
  <si>
    <t>ΑΓΙΑΣ ΛΑΥΡΑΣ 22</t>
  </si>
  <si>
    <t>61ο ΝΗΠΙΑΓΩΓΕΙΟ ΛΑΡΙΣΑΣ</t>
  </si>
  <si>
    <t>mail@61nip-laris.lar.sch.gr</t>
  </si>
  <si>
    <t>ΑΓΙΑΣ ΛΑΥΡΑΣ  22</t>
  </si>
  <si>
    <t>Π.Ε. ΜΑΓΝΗΣΙΑΣ</t>
  </si>
  <si>
    <t>4ο ΔΗΜΟΤΙΚΟ ΣΧΟΛΕΙΟ ΝΕΑΣ ΙΩΝΙΑΣ ΜΑΓΝΗΣΙΑΣ - ΚΑΤΣΙΡΕΛΟΣ ΠΑΝΑΓΙΩΤΗΣ</t>
  </si>
  <si>
    <t>mail@4dim-n-ionias.mag.sch.gr</t>
  </si>
  <si>
    <t>ΒΟΛΟΥ</t>
  </si>
  <si>
    <t>Ν.ΙΩΝΙΑ</t>
  </si>
  <si>
    <t>ΘΕΣΣΑΛΙΑΣ 2</t>
  </si>
  <si>
    <t>8ο ΔΗΜΟΤΙΚΟ ΣΧΟΛΕΙΟ   ΝΕΑΣ ΙΩΝΙΑΣ</t>
  </si>
  <si>
    <t>mail@8dim-n-ionias.mag.sch.gr</t>
  </si>
  <si>
    <t>ΝΕΑ ΙΩΝΙΑ ΜΑΓΝΗΣΙΑΣ</t>
  </si>
  <si>
    <t>ΤΕΡΜΑ ΚΥΡΙΛΛΟΥ</t>
  </si>
  <si>
    <t>2ο ΝΗΠΙΑΓΩΓΕΙΟ ΑΛΜΥΡΟΥ</t>
  </si>
  <si>
    <t>mail@2nip-almyr.mag.sch.gr</t>
  </si>
  <si>
    <t>ΑΛΜΥΡΟΥ</t>
  </si>
  <si>
    <t>ΤΕΡΜΑ ΑΓ.ΒΑΡΒΑΡΑΣ</t>
  </si>
  <si>
    <t>1ο ΝΗΠΙΑΓΩΓΕΙΟ ΑΛΜΥΡΟΥ</t>
  </si>
  <si>
    <t>mail@1nip-almyr.mag.sch.gr</t>
  </si>
  <si>
    <t>Αγ.Τρύφωνος 1</t>
  </si>
  <si>
    <t>4ο ΝΗΠΙΑΓΩΓΕΙΟ ΑΛΜΥΡΟΥ</t>
  </si>
  <si>
    <t>mail@4nip-almyr.mag.sch.gr</t>
  </si>
  <si>
    <t>ΤΡ.ΑΡΓΥΡΟΠΟΥΛΟΥ</t>
  </si>
  <si>
    <t>17ο ΔΗΜΟΤΙΚΟ ΣΧΟΛΕΙΟ ΒΟΛΟΥ</t>
  </si>
  <si>
    <t>mail@17dim-volou.mag.sch.gr</t>
  </si>
  <si>
    <t>ΒΟΛΟΣ</t>
  </si>
  <si>
    <t>ΚΩΝΣΤΑΝΤΙΝΟΥ ΒΑΡΝΑΛΗ 4</t>
  </si>
  <si>
    <t>4ο  ΝΗΠΙΑΓΩΓΕΙΟ ΒΟΛΟΥ</t>
  </si>
  <si>
    <t>mail@4nip-volou.mag.sch.gr</t>
  </si>
  <si>
    <t>ΓΙΑΝΝΗ ΔΗΜΟΥ - ΒΛΑΧΑΒΑ</t>
  </si>
  <si>
    <t>18ο  ΔΗΜΟΤΙΚΟ ΣΧΟΛΕΙΟ ΒΟΛΟΥ</t>
  </si>
  <si>
    <t>mail@18dim-volou.mag.sch.gr</t>
  </si>
  <si>
    <t>ΛΑΡΙΣΗΣ - ΜΙΑΟΥΛΗ 4</t>
  </si>
  <si>
    <t>21ο ΝΗΠΙΑΓΩΓΕΙΟ ΒΟΛΟΥ</t>
  </si>
  <si>
    <t>mail@21nip-volou.mag.sch.gr</t>
  </si>
  <si>
    <t>ΠΕΡΣΕΩΣ 6</t>
  </si>
  <si>
    <t>5ο ΝΗΠΙΑΓΩΓΕΙΟ ΒΟΛΟΥ</t>
  </si>
  <si>
    <t>mail@5nip-volou.mag.sch.gr</t>
  </si>
  <si>
    <t>ΟΓΛ-ΕΘΝΙΚΗΣ ΑΝΤΙΣΤΑΣΕΩΣ</t>
  </si>
  <si>
    <t>17ο ΝΗΠΙΑΓΩΓΕΙΟ ΒΟΛΟΥ</t>
  </si>
  <si>
    <t>mail@17nip-volou.mag.sch.gr</t>
  </si>
  <si>
    <t>ΝΙΚΟΤΣΑΡΑ - Β. ΚΑΤΡΑΚΗ</t>
  </si>
  <si>
    <t>ΔΗΜΟΤΙΚΟ ΣΧΟΛΕΙΟ ΠΤΕΛΕΟΥ</t>
  </si>
  <si>
    <t>mail@dim-pteleou.mag.sch.gr</t>
  </si>
  <si>
    <t>Πτελεός</t>
  </si>
  <si>
    <t>ΠΤΕΛΕΟΣ</t>
  </si>
  <si>
    <t>14ο ΔΗΜΟΤΙΚΟ ΣΧΟΛΕΙΟ ΒΟΛΟΥ</t>
  </si>
  <si>
    <t>mail@14dim-volou.mag.sch.gr</t>
  </si>
  <si>
    <t>ΑΘ.ΔΙΑΚΟΥ 161</t>
  </si>
  <si>
    <t>1ο ΔΗΜΟΤΙΚΟ ΣΧΟΛΕΙΟ ΑΙΣΩΝΙΑΣ-ΔΙΜΗΝΙΟΥ</t>
  </si>
  <si>
    <t>mail@1dim-dimin.mag.sch.gr</t>
  </si>
  <si>
    <t>ΔΙΜΗΝΙ</t>
  </si>
  <si>
    <t>ΔΙΜΗΝΙΟΥ-ΑΡΓΟΝΑΥΤΩΝ</t>
  </si>
  <si>
    <t>2ο ΔΗΜΟΤΙΚΟ ΣΧΟΛΕΙΟ ΝΕΑΣ ΑΓΧΙΑΛΟΥ - ΒΑΡΝΑΛΕΙΟ</t>
  </si>
  <si>
    <t>2dimnagch@sch.gr</t>
  </si>
  <si>
    <t>ΝΕΑ ΑΓΧΙΑΛΟΣ</t>
  </si>
  <si>
    <t>ΕΛΛΗΝΙΚΗΣ ΑΕΡΟΠΟΡΙΑΣ 62</t>
  </si>
  <si>
    <t>19ο ΝΗΠΙΑΓΩΓΕΙΟ ΒΟΛΟΥ</t>
  </si>
  <si>
    <t>mail@19nip-volou.mag.sch.gr</t>
  </si>
  <si>
    <t>ΓΑΜΒΕΤΑ-ΓΑΛΛΙΑΣ 86</t>
  </si>
  <si>
    <t>9ο ΔΗΜΟΤΙΚΟ ΣΧΟΛΕΙΟ ΒΟΛΟΥ</t>
  </si>
  <si>
    <t>mail@9dim-volou.mag.sch.gr</t>
  </si>
  <si>
    <t>ΛΗΜΝΟΥ 21</t>
  </si>
  <si>
    <t>2ο ΔΗΜΟΤΙΚΟ ΣΧΟΛΕΙΟ ΑΛΜΥΡΟΥ</t>
  </si>
  <si>
    <t>mail@2dim-almyr.mag.sch.gr</t>
  </si>
  <si>
    <t>ΑΛΜΥΡΟΣ</t>
  </si>
  <si>
    <t>ΚΟΡΑΗ 7</t>
  </si>
  <si>
    <t>4ο ΔΗΜΟΤΙΚΟ ΣΧΟΛΕΙΟ ΒΟΛΟΥ</t>
  </si>
  <si>
    <t>mail@4dim-volou.mag.sch.gr</t>
  </si>
  <si>
    <t>ΚΑΝΑΡΗ 42</t>
  </si>
  <si>
    <t>21ο ΔΗΜΟΤΙΚΟ ΣΧΟΛΕΙΟ ΒΟΛΟΥ</t>
  </si>
  <si>
    <t>21dimvol@sch.gr</t>
  </si>
  <si>
    <t>ΟΡΜΙΝΙΟΥ 17</t>
  </si>
  <si>
    <t>30ο ΔΗΜΟΤΙΚΟ ΣΧΟΛΕΙΟ ΒΟΛΟΥ</t>
  </si>
  <si>
    <t>mail@30dim-volou.mag.sch.gr</t>
  </si>
  <si>
    <t>ΟΡΦΑΝΟΤΡΟΦΕΙΟΥ 4</t>
  </si>
  <si>
    <t>4ο ΝΗΠΙΑΓΩΓΕΙΟ  ΝΕΑΣ ΙΩΝΙΑΣ</t>
  </si>
  <si>
    <t>mail@4nip-n-ionias.mag.sch.gr</t>
  </si>
  <si>
    <t>Ν.ΙΩΝΙΑΣ</t>
  </si>
  <si>
    <t>ΧΡ.ΛΟΥΛΗ ΚΑΙ ΓΑΝΟΧΩΡΑΣ</t>
  </si>
  <si>
    <t>6ο ΔΗΜΟΤΙΚΟ ΣΧΟΛΕΙΟ ΒΟΛΟΥ</t>
  </si>
  <si>
    <t>mail@6dim-volou.mag.sch.gr</t>
  </si>
  <si>
    <t>Βόλος</t>
  </si>
  <si>
    <t>ΓΑΛΛΙΑΣ-ΓΑΜΒΕΤΑ</t>
  </si>
  <si>
    <t>15ο ΔΗΜΟΤΙΚΟ ΣΧΟΛΕΙΟ ΒΟΛΟΥ</t>
  </si>
  <si>
    <t>mail@15dim-volou.mag.sch.gr</t>
  </si>
  <si>
    <t>ΔΑΒΑΚΗ  76</t>
  </si>
  <si>
    <t>6ο ΝΗΠΙΑΓΩΓΕΙΟ  Ν.ΙΩΝΙΑΣ</t>
  </si>
  <si>
    <t>mail@6nip-n-ionias.mag.sch.gr</t>
  </si>
  <si>
    <t>ΑΓΓΕΛΕΤΟΥ-ΕΥΣΤΑΘΙΑΔΗ</t>
  </si>
  <si>
    <t>15ο ΝΗΠΙΑΓΩΓΕΙΟ ΒΟΛΟΥ</t>
  </si>
  <si>
    <t>mail@15nip-volou.mag.sch.gr</t>
  </si>
  <si>
    <t>ΑΛ.ΠΑΝΑΓΟΥΛΗ 28</t>
  </si>
  <si>
    <t>33ο ΝΗΠΙΑΓΩΓΕΙΟ ΒΟΛΟΥ</t>
  </si>
  <si>
    <t>mail@33nip-volou.mag.sch.gr</t>
  </si>
  <si>
    <t>ΣΤΑΘΑ  101</t>
  </si>
  <si>
    <t>18ο ΝΗΠΙΑΓΩΓΕΙΟ ΒΟΛΟΥ</t>
  </si>
  <si>
    <t>mail@18nip-volou.mag.sch.gr</t>
  </si>
  <si>
    <t>ΓΑΛΛΙΑΣ -ΟΓΛ 54</t>
  </si>
  <si>
    <t>4ο ΔΗΜΟΤΙΚΟ ΣΧΟΛΕΙΟ ΑΛΜΥΡΟΥ</t>
  </si>
  <si>
    <t>mail@4dim-almyr.mag.sch.gr</t>
  </si>
  <si>
    <t>ΑΡΓΥΡΟΠΟΥΛΟΥ 66</t>
  </si>
  <si>
    <t>2ο ΝΗΠΙΑΓΩΓΕΙΟ ΒΟΛΟΥ</t>
  </si>
  <si>
    <t>mail@2nip-volou.mag.sch.gr</t>
  </si>
  <si>
    <t>ΟΓΛ -ΕΘΝΙΚΗΣ ΑΝΤΙΣΤΑΣΕΩΣ</t>
  </si>
  <si>
    <t>11ο ΔΗΜΟΤΙΚΟ ΣΧΟΛΕΙΟ ΒΟΛΟΥ</t>
  </si>
  <si>
    <t>mail@11dim-volou.mag.sch.gr</t>
  </si>
  <si>
    <t>ΡΟΖΟΥ 57</t>
  </si>
  <si>
    <t>25ο ΝΗΠΙΑΓΩΓΕΙΟ ΒΟΛΟΥ</t>
  </si>
  <si>
    <t>mail@25nip-volou.mag.sch.gr</t>
  </si>
  <si>
    <t>ΔΑΒΑΚΗ 76</t>
  </si>
  <si>
    <t>2ο ΝΗΠΙΑΓΩΓΕΙΟ ΝΕΑΣ ΑΓΧΙΑΛΟΥ</t>
  </si>
  <si>
    <t>mail@2nip-n-agchial.mag.sch.gr</t>
  </si>
  <si>
    <t>ΑΜΥΡΑ 5</t>
  </si>
  <si>
    <t>1ο ΔΗΜΟΤΙΚΟ ΣΧΟΛΕΙΟ  ΝΕΑΣ ΙΩΝΙΑΣ</t>
  </si>
  <si>
    <t>mail@1dim-n-ionias.mag.sch.gr</t>
  </si>
  <si>
    <t>ΜΑΙΑΝΔΡΟΥ 36</t>
  </si>
  <si>
    <t>1ο ΝΗΠΙΑΓΩΓΕΙΟ ΝΕΑΣ ΑΓΧΙΑΛΟΥ</t>
  </si>
  <si>
    <t>mail@1nip-n-agchial.mag.sch.gr</t>
  </si>
  <si>
    <t>ΕΛ. ΒΕΝΙΖΕΛΟΥ 2</t>
  </si>
  <si>
    <t>ΔΗΜΟΤΙΚΟ ΣΧΟΛΕΙΟ ΕΥΞΕΙΝΟΥΠΟΛΗΣ</t>
  </si>
  <si>
    <t>dimefxei.mag@sch.gr</t>
  </si>
  <si>
    <t>ΕΥΞΕΙΝΟΥΠΟΛΗ</t>
  </si>
  <si>
    <t>ΗΡΩΩΝ ΠΟΛΥΤΕΧΝΕΙΟΥ 56</t>
  </si>
  <si>
    <t>9ο ΔΗΜΟΤΙΚΟ ΣΧΟΛΕΙΟ  ΝΕΑΣ ΙΩΝΙΑΣ</t>
  </si>
  <si>
    <t>mail@9dim-n-ionias.mag.sch.gr</t>
  </si>
  <si>
    <t>ΧΡΥΣΟΣΤΟΜΟΥ ΣΜΥΡΝΗΣ 25</t>
  </si>
  <si>
    <t>2ο ΔΗΜΟΤΙΚΟ ΣΧΟΛΕΙΟ  ΝΕΑΣ ΙΩΝΙΑΣ</t>
  </si>
  <si>
    <t>mail@2dim-n-ionias.mag.sch.gr</t>
  </si>
  <si>
    <t>12ο ΝΗΠΙΑΓΩΓΕΙΟ   ΝΕΑΣ ΙΩΝΙΑΣ</t>
  </si>
  <si>
    <t>mail@12nip-n-ionias.mag.sch.gr</t>
  </si>
  <si>
    <t>26ο ΝΗΠΙΑΓΩΓΕΙΟ ΒΟΛΟΥ</t>
  </si>
  <si>
    <t>mail@26nip-volou.mag.sch.gr</t>
  </si>
  <si>
    <t>ΠΑΓΑΣΩΝ &amp; ΑΝΑΛΗΨΕΩΣ</t>
  </si>
  <si>
    <t>6ο ΝΗΠΙΑΓΩΓΕΙΟ ΒΟΛΟΥ</t>
  </si>
  <si>
    <t>mail@6nip-volou.mag.sch.gr</t>
  </si>
  <si>
    <t>ΠΑΓΑΣΩΝ ΚΑΙ ΑΝΑΛΗΨΕΩΣ</t>
  </si>
  <si>
    <t>7ο ΝΗΠΙΑΓΩΓΕΙΟ ΒΟΛΟΥ</t>
  </si>
  <si>
    <t>mail@7nip-volou.mag.sch.gr</t>
  </si>
  <si>
    <t>13ο ΝΗΠΙΑΓΩΓΕΙΟ ΒΟΛΟΥ</t>
  </si>
  <si>
    <t>mail@13nip-volou.mag.sch.gr</t>
  </si>
  <si>
    <t>ΑΝΘΙΜΟΥ ΓΑΖΗ 25</t>
  </si>
  <si>
    <t>3ο ΔΗΜΟΤΙΚΟ ΣΧΟΛΕΙΟ ΑΛΜΥΡΟΥ</t>
  </si>
  <si>
    <t>mail@3dim-almyr.mag.sch.gr</t>
  </si>
  <si>
    <t>ΠΑΥΛΟΥ ΜΕΛΑ 9</t>
  </si>
  <si>
    <t>5ο ΝΗΠΙΑΓΩΓΕΙΟ   ΝΕΑΣ  ΙΩΝΙΑΣ</t>
  </si>
  <si>
    <t>mail@5nip-n-ionias.mag.sch.gr</t>
  </si>
  <si>
    <t>Ε. ΓΚΛΑΒΑΝΗ 7</t>
  </si>
  <si>
    <t>11ο ΝΗΠΙΑΓΩΓΕΙΟ ΒΟΛΟΥ</t>
  </si>
  <si>
    <t>mail@11nip-volou.mag.sch.gr</t>
  </si>
  <si>
    <t>ΜΕΤΑΜΟΡΦΩΣΕΩΣ 52</t>
  </si>
  <si>
    <t>10ο  ΔΗΜΟΤΙΚΟ ΣΧΟΛΕΙΟ ΝΕΑΣ ΙΩΝΙΑΣ</t>
  </si>
  <si>
    <t>mail@10dim-n-ionias.mag.sch.gr</t>
  </si>
  <si>
    <t>ΕΛ.ΒΕΝΙΖΕΛΟΥ ΤΕΡΜΑ</t>
  </si>
  <si>
    <t>5ο ΔΗΜΟΤΙΚΟ ΣΧΟΛΕΙΟ  ΝΕΑΣ ΙΩΝΙΑΣ</t>
  </si>
  <si>
    <t>mail@5dim-neasionias.mag.sch.gr</t>
  </si>
  <si>
    <t>ΜΑΙΑΝΔΡΟΥ 119</t>
  </si>
  <si>
    <t>ΔΗΜΟΤΙΚΟ ΣΧΟΛΕΙΟ ΑΛΛΗΣ ΜΕΡΙΑΣ</t>
  </si>
  <si>
    <t>mail@2dim-portar.mag.sch.gr</t>
  </si>
  <si>
    <t>ΑΛΛΗ ΜΕΡΙΑ</t>
  </si>
  <si>
    <t>Ιάσονος 4</t>
  </si>
  <si>
    <t>1ο ΝΗΠΙΑΓΩΓΕΙΟ ΦΕΡΩΝ-ΒΕΛΕΣΤΙΝΟΥ</t>
  </si>
  <si>
    <t>mail@1nip-feron.mag.sch.gr</t>
  </si>
  <si>
    <t>ΡΗΓΑ ΦΕΡΑΙΟΥ</t>
  </si>
  <si>
    <t>ΦΕΡΩΝ-ΒΕΛΕΣΤΙΝΟΥ</t>
  </si>
  <si>
    <t>ΒΕΛΕΣΤΙΝΟ</t>
  </si>
  <si>
    <t>11ο ΔΗΜΟΤΙΚΟ ΣΧΟΛΕΙΟ  ΝΕΑΣ  ΙΩΝΙΑΣ</t>
  </si>
  <si>
    <t>mail@11dim-n-ionias.mag.sch.gr</t>
  </si>
  <si>
    <t>3ο ΔΗΜΟΤΙΚΟ ΣΧΟΛΕΙΟ ΒΟΛΟΥ</t>
  </si>
  <si>
    <t>mail@3dim-volou.mag.sch.gr</t>
  </si>
  <si>
    <t>ΓΑΛΛΙΑΣ 54</t>
  </si>
  <si>
    <t>5ο ΔΗΜΟΤΙΚΟ ΣΧΟΛΕΙΟ ΑΛΜΥΡΟΥ</t>
  </si>
  <si>
    <t>5dimalmyr@sch.gr</t>
  </si>
  <si>
    <t>ΑΓΙΑΣ ΒΑΡΒΑΡΑΣ (ΤΕΡΜΑ)</t>
  </si>
  <si>
    <t>8ο ΝΗΠΙΑΓΩΓΕΙΟ  ΝΕΑΣ ΙΩΝΙΑΣ</t>
  </si>
  <si>
    <t>mail@8nip-n-ionias.mag.sch.gr</t>
  </si>
  <si>
    <t>ΤΕΡΜΑ ΒΕΝΙΖΕΛΟΥ</t>
  </si>
  <si>
    <t>2ο ΔΗΜΟΤΙΚΟ ΣΧΟΛΕΙΟ ΚΑΡΛΑΣ - ΡΙΖΟΜΥΛΟΥ</t>
  </si>
  <si>
    <t>mail@2dim-karlas.mag.sch.gr</t>
  </si>
  <si>
    <t>ΡΙΖΟΜΥΛΟΣ</t>
  </si>
  <si>
    <t>ΝΗΠΙΑΓΩΓΕΙΟ  ΑΛΛΗΣ ΜΕΡΙΑΣ</t>
  </si>
  <si>
    <t>mail@2nip-portar.mag.sch.gr</t>
  </si>
  <si>
    <t>1ο ΝΗΠΙΑΓΩΓΕΙΟ ΑΓΡΙΑΣ</t>
  </si>
  <si>
    <t>mail@1nip-agrias.mag.sch.gr</t>
  </si>
  <si>
    <t>ΑΓΡΙΑΣ</t>
  </si>
  <si>
    <t>ΝΙΚ. ΛΟΑΡΗ-ΟΜΠΙΛΙΤΣ</t>
  </si>
  <si>
    <t>1ο ΝΗΠΙΑΓΩΓΕΙΟ  ΝΕΑΣ ΙΩΝΙΑΣ-"ΖΗΝΟΒΙΑ ΚΟΡΔΑΤΟΥ"</t>
  </si>
  <si>
    <t>mail@1nip-n-ionias.mag.sch.gr</t>
  </si>
  <si>
    <t>ΑΓ.ΝΕΚΤΑΡΙΟΥ ΤΕΡΜΑ</t>
  </si>
  <si>
    <t>25ο ΔΗΜΟΤΙΚΟ ΣΧΟΛΕΙΟ ΒΟΛΟΥ</t>
  </si>
  <si>
    <t>mail@25dim-volou.mag.sch.gr</t>
  </si>
  <si>
    <t>ΒΑΣΣΑΝΗ 69</t>
  </si>
  <si>
    <t>32ο ΔΗΜΟΤΙΚΟ ΣΧΟΛΕΙΟ ΒΟΛΟΥ</t>
  </si>
  <si>
    <t>32dimvol@sch.gr</t>
  </si>
  <si>
    <t>ΒΟΛΟΣ-ΜΑΓΝΗΣΙΑ</t>
  </si>
  <si>
    <t>ΓΙΑΝΝΗ ΔΗΜΟΥ-ΒΛΑΧΑΒΑ</t>
  </si>
  <si>
    <t>24ο ΔΗΜΟΤΙΚΟ ΣΧΟΛΕΙΟ ΒΟΛΟΥ</t>
  </si>
  <si>
    <t>mail@24dim-volou.mag.sch.gr</t>
  </si>
  <si>
    <t>32ο ΝΗΠΙΑΓΩΓΕΙΟ ΒΟΛΟΥ</t>
  </si>
  <si>
    <t>mail@32nip-volou.mag.sch.gr</t>
  </si>
  <si>
    <t>ΛΑΡΙΣΗΣ   - ΜΙΑΟΥΛΗ 4</t>
  </si>
  <si>
    <t>2ο ΝΗΠΙΑΓΩΓΕΙΟ   ΝΕΑΣ ΙΩΝΙΑΣ</t>
  </si>
  <si>
    <t>mail@2nip-n-ionias.mag.sch.gr</t>
  </si>
  <si>
    <t>ΧΡ.ΣΜΥΡΝΗΣ-ΣΙΝΩΠΗΣ 25</t>
  </si>
  <si>
    <t>22ο ΔΗΜΟΤΙΚΟ ΣΧΟΛΕΙΟ ΒΟΛΟΥ</t>
  </si>
  <si>
    <t>mail@22dim-volou.mag.sch.gr</t>
  </si>
  <si>
    <t>ΟΛΥΜΠΙΑΔΟΣ  20</t>
  </si>
  <si>
    <t>3ο ΔΗΜΟΤΙΚΟ ΣΧΟΛΕΙΟ  ΝΕΑΣ ΙΩΝΙΑΣ</t>
  </si>
  <si>
    <t>mail@3dim-n-ionias.mag.sch.gr</t>
  </si>
  <si>
    <t>2ο ΔΗΜΟΤΙΚΟ ΣΧΟΛΕΙΟ ΑΡΤΕΜΙΔΟΣ-ΚΑΤΩ ΛΕΧΩΝΙΩΝ "ΤΟΠΑΛΕΙΟ"</t>
  </si>
  <si>
    <t>mail@dim-k-lechon.mag.sch.gr</t>
  </si>
  <si>
    <t>ΚΑΤΩ ΛΕΧΩΝΙΑ</t>
  </si>
  <si>
    <t>10ο ΔΗΜΟΤΙΚΟ ΣΧΟΛΕΙΟ ΒΟΛΟΥ</t>
  </si>
  <si>
    <t>mail@10dim-volou.mag.sch.gr</t>
  </si>
  <si>
    <t>ΕΘΝΙΚΗΣ ΑΝΤΙΣΤΑΣΕΩΣ - ΚΥΠΡΟΥ</t>
  </si>
  <si>
    <t>20ο ΔΗΜΟΤΙΚΟ ΣΧΟΛΕΙΟ ΒΟΛΟΥ</t>
  </si>
  <si>
    <t>mail@20dim-volou.mag.sch.gr</t>
  </si>
  <si>
    <t>ΓΑΛΛΙΑΣ 58</t>
  </si>
  <si>
    <t>7ο ΔΗΜΟΤΙΚΟ ΣΧΟΛΕΙΟ ΒΟΛΟΥ</t>
  </si>
  <si>
    <t>mail@7dim-volou.mag.sch.gr</t>
  </si>
  <si>
    <t>ΟΛΥΜΠΙΑΔΟΣ 22</t>
  </si>
  <si>
    <t>1ο ΝΗΠΙΑΓΩΓΕΙΟ ΒΟΛΟΥ</t>
  </si>
  <si>
    <t>mail@1nip-volou.mag.sch.gr</t>
  </si>
  <si>
    <t>ΟΛΥΜΠΙΑΔΟΣ  22</t>
  </si>
  <si>
    <t>1ο ΔΗΜΟΤΙΚΟ ΣΧΟΛΕΙΟ ΑΓΡΙΑΣ</t>
  </si>
  <si>
    <t>mail@1dim-agrias.mag.sch.gr</t>
  </si>
  <si>
    <t>ΑΓΡΙΑ</t>
  </si>
  <si>
    <t>Π. ΓΕΩΡΓΙΑΔΗ 25- Ρ. ΦΕΡΑΙΟΥ</t>
  </si>
  <si>
    <t>1ο ΔΗΜΟΤΙΚΟ ΣΧΟΛΕΙΟ ΝΕΑΣ ΑΓΧΙΑΛΟΥ - ΕΥΓΕΝΕΙΟ</t>
  </si>
  <si>
    <t>mail@1dim-n-agchial.mag.sch.gr</t>
  </si>
  <si>
    <t>ΠΑΡΑΣΚΕΥΟΠΟΥΛΟΥ 14</t>
  </si>
  <si>
    <t>2ο ΔΗΜΟΤΙΚΟ ΣΧΟΛΕΙΟ ΒΟΛΟΥ</t>
  </si>
  <si>
    <t>mail@2dim-volou.mag.sch.gr</t>
  </si>
  <si>
    <t>ΜΑΚΡΥΝΙΤΣΗΣ 23</t>
  </si>
  <si>
    <t>ΔΗΜΟΤΙΚΟ ΣΧΟΛΕΙΟ ΑΡΓΑΛΑΣΤΗΣ</t>
  </si>
  <si>
    <t>mail@dim-argal.mag.sch.gr</t>
  </si>
  <si>
    <t>ΝΟΤΙΟΥ ΠΗΛΙΟΥ</t>
  </si>
  <si>
    <t>ΑΡΓΑΛΑΣΤΗ</t>
  </si>
  <si>
    <t>2ο ΝΗΠΙΑΓΩΓΕΙΟ ΑΓΡΙΑΣ - ΓΕΩΡΓΙΑΔΕΙΟ</t>
  </si>
  <si>
    <t>mail@2nip-agrias.mag.sch.gr</t>
  </si>
  <si>
    <t>ΤΕΡΜΑ ΠΟΡΦΥΡΟΓΕΝΗ ΑΓΡΙΑ ΒΟΛΟΣ</t>
  </si>
  <si>
    <t>13ο ΔΗΜΟΤΙΚΟ ΣΧΟΛΕΙΟ ΒΟΛΟΥ</t>
  </si>
  <si>
    <t>mail@13dim-volou.mag.sch.gr</t>
  </si>
  <si>
    <t>ΠΑΓΑΣΩΝ-ΑΝΑΛΗΨΕΩΣ</t>
  </si>
  <si>
    <t>14ο ΝΗΠΙΑΓΩΓΕΙΟ ΒΟΛΟΥ</t>
  </si>
  <si>
    <t>mail@14nip-volou.mag.sch.gr</t>
  </si>
  <si>
    <t>ΚΟΥΝΤΟΥΡΙΩΤΟΥ 146 -  ΣΟΛΩΜΟΥ</t>
  </si>
  <si>
    <t>23ο ΝΗΠΙΑΓΩΓΕΙΟ ΒΟΛΟΥ</t>
  </si>
  <si>
    <t>mail@23nip-volou.mag.sch.gr</t>
  </si>
  <si>
    <t>ΤΕΡΜΑ ΝΕΑΠΟΛΕΩΣ</t>
  </si>
  <si>
    <t>19ο ΔΗΜΟΤΙΚΟ ΣΧΟΛΕΙΟ ΒΟΛΟΥ</t>
  </si>
  <si>
    <t>mail@19dim-volou.mag.sch.gr</t>
  </si>
  <si>
    <t>ΑΘΑΝΑΣΙΟΥ ΔΙΑΚΟΥ 161</t>
  </si>
  <si>
    <t>23ο ΔΗΜΟΤΙΚΟ ΣΧΟΛΕΙΟ ΒΟΛΟΥ</t>
  </si>
  <si>
    <t>mail@23dim-volou.mag.sch.gr</t>
  </si>
  <si>
    <t>ΝΕΑΠΟΛΕΩΣ ΤΕΡΜΑ</t>
  </si>
  <si>
    <t>1ο ΔΗΜΟΤΙΚΟ ΣΧΟΛΕΙΟ ΑΡΤΕΜΙΔΟΣ-ΑΝΩ ΛΕΧΩΝΙΩΝ</t>
  </si>
  <si>
    <t>mail@1dim-artem.mag.sch.gr</t>
  </si>
  <si>
    <t>ΑΝΩ ΛΕΧΩΝΙΑ</t>
  </si>
  <si>
    <t>1ο  ΝΗΠΙΑΓΩΓΕΙΟ ΣΚΟΠΕΛΟΥ</t>
  </si>
  <si>
    <t>mail@1nip-skopel.mag.sch.gr</t>
  </si>
  <si>
    <t>ΣΚΟΠΕΛΟΥ</t>
  </si>
  <si>
    <t>ΣΚΟΠΕΛΟΣ</t>
  </si>
  <si>
    <t>ΔΗΜΟΤΙΚΟ ΣΧΟΛΕΙΟ ΑΛΟΝΝΗΣΟΥ</t>
  </si>
  <si>
    <t>mail@dim-alonn.mag.sch.gr</t>
  </si>
  <si>
    <t>ΑΛΟΝΝΗΣΟΥ</t>
  </si>
  <si>
    <t>ΑΛΟΝΝΗΣΟΣ</t>
  </si>
  <si>
    <t>1ο ΔΗΜΟΤΙΚΟ ΣΧΟΛΕΙΟ ΣΚΟΠΕΛΟΥ  " ΠΕΠΑΡΗΘΕΙΟ"</t>
  </si>
  <si>
    <t>mail@1dim-skopel.mag.sch.gr</t>
  </si>
  <si>
    <t>ΣΚΟΠΕΛΟΣ-ΜΑΓΝΗΣΙΑΣ</t>
  </si>
  <si>
    <t>2ο ΝΗΠΙΑΓΩΓΕΙΟ ΣΚΟΠΕΛΟΥ</t>
  </si>
  <si>
    <t>mail@2nip-skopel.mag.sch.gr</t>
  </si>
  <si>
    <t>9ο ΝΗΠΙΑΓΩΓΕΙΟ   ΝΕΑΣ ΙΩΝΙΑΣ</t>
  </si>
  <si>
    <t>mail@9nip-n-ionias.mag.sch.gr</t>
  </si>
  <si>
    <t>ΝΕΑΣ ΙΩΝΙΑΣ ΜΑΓΝΗΣΙΑΣ</t>
  </si>
  <si>
    <t>ΧΡ.ΣΜΥΡΝΗΣ 25</t>
  </si>
  <si>
    <t>8ο  ΔΗΜΟΤΙΚΟ ΣΧΟΛΕΙΟ ΒΟΛΟΥ</t>
  </si>
  <si>
    <t>mail@8dim-volou.mag.sch.gr</t>
  </si>
  <si>
    <t>ΓΑΛΛΙΑΣ - ΓΑΜΒΕΤΑ</t>
  </si>
  <si>
    <t>29ο ΔΗΜΟΤΙΚΟ ΣΧΟΛΕΙΟ ΒΟΛΟΥ</t>
  </si>
  <si>
    <t>mail@29dim-volou.mag.sch.gr</t>
  </si>
  <si>
    <t xml:space="preserve"> ΒΟΛΟΣ</t>
  </si>
  <si>
    <t>28ο ΔΗΜΟΤΙΚΟ ΣΧΟΛΕΙΟ ΒΟΛΟΥ</t>
  </si>
  <si>
    <t>mail@28dim-volou.mag.sch.gr</t>
  </si>
  <si>
    <t>ΠΑΦΟΥ 19</t>
  </si>
  <si>
    <t>6ο ΔΗΜΟΤΙΚΟ ΣΧΟΛΕΙΟ   ΝΕΑΣ ΙΩΝΙΑΣ</t>
  </si>
  <si>
    <t>mail@6dim-n-ionias.mag.sch.gr</t>
  </si>
  <si>
    <t>Ν.Ιωνία</t>
  </si>
  <si>
    <t>ΑΓ.ΝΕΚΤΑΡΙΟΥ 3</t>
  </si>
  <si>
    <t>31ο  ΔΗΜΟΤΙΚΟ ΣΧΟΛΕΙΟ ΒΟΛΟΥ</t>
  </si>
  <si>
    <t>mail@31dim-volou.mag.sch.gr</t>
  </si>
  <si>
    <t>ΕΡΓΑΤΙΚΑ ΑΓ.ΠΑΡΑΣΚΕΥΗΣ</t>
  </si>
  <si>
    <t>16ο ΔΗΜΟΤΙΚΟ ΣΧΟΛΕΙΟ ΒΟΛΟΥ</t>
  </si>
  <si>
    <t>mail@16dim-volou.mag.sch.gr</t>
  </si>
  <si>
    <t>ΟΡΦΑΝΟΤΡΟΦΕΙΟΥ 4-ΧΕΙΡΩΝΟΣ</t>
  </si>
  <si>
    <t>2ο ΔΗΜΟΤΙΚΟ ΣΧΟΛΕΙΟ ΜΗΛΕΩΝ-ΚΑΛΩΝ ΝΕΡΩΝ</t>
  </si>
  <si>
    <t>mail@2dim-kal-neron.mag.sch.gr</t>
  </si>
  <si>
    <t>ΚΑΛΑ ΝΕΡΑ</t>
  </si>
  <si>
    <t>27ο  ΔΗΜΟΤΙΚΟ ΣΧΟΛΕΙΟ ΒΟΛΟΥ</t>
  </si>
  <si>
    <t>27dimvol@sch.gr</t>
  </si>
  <si>
    <t>ΠΡΟΦΗΤΗ ΗΛΙΑ ΑΛΥΚΕΣ</t>
  </si>
  <si>
    <t>ΔΗΜΟΤΙΚΟ ΣΧΟΛΕΙΟ ΑΦΕΤΩΝ</t>
  </si>
  <si>
    <t>mail@1dim-afeton.mag.sch.gr</t>
  </si>
  <si>
    <t>2ο ΔΗΜΟΤΙΚΟ ΣΧΟΛΕΙΟ ΑΓΡΙΑΣ - ΓΕΩΡΓΙΑΔΕΙΟ</t>
  </si>
  <si>
    <t>mail@2dim-agrias.mag.sch.gr</t>
  </si>
  <si>
    <t>ΤΕΡΜΑ Ν. ΠΟΡΦΥΡΟΓΕΝΗ</t>
  </si>
  <si>
    <t>1ο ΔΗΜΟΤΙΚΟ ΣΧΟΛΕΙΟ ΒΟΛΟΥ</t>
  </si>
  <si>
    <t>mail@1dim-volou.mag.sch.gr</t>
  </si>
  <si>
    <t>ΔΗΜΟΤΙΚΟ ΣΧΟΛΕΙΟ ΙΩΛΚΟΥ</t>
  </si>
  <si>
    <t>mail@dim-iolkou.mag.sch.gr</t>
  </si>
  <si>
    <t xml:space="preserve"> ΙΩΛΚΟΣ</t>
  </si>
  <si>
    <t>ΑΝΑΚΑΣΙΑ</t>
  </si>
  <si>
    <t>1ο  ΔΗΜΟΤΙΚΟ ΣΧΟΛΕΙΟ ΣΚΙΑΘΟΥ</t>
  </si>
  <si>
    <t>mail@1dim-skiath.mag.sch.gr</t>
  </si>
  <si>
    <t>ΣΚΙΑΘΟΥ</t>
  </si>
  <si>
    <t>ΣΚΙΑΘΟΣ</t>
  </si>
  <si>
    <t>1ο ΔΗΜΟΤΙΚΟ ΣΧΟΛΕΙΟ ΖΑΓΟΡΑΣ - ΡΗΓΑΣ ΦΕΡΑΙΟΣ</t>
  </si>
  <si>
    <t>mail@1dim-zagor.mag.sch.gr</t>
  </si>
  <si>
    <t>ΖΑΓΟΡΑΣ-ΜΟΥΡΕΣΙΟΥ</t>
  </si>
  <si>
    <t>ΖΑΓΟΡΑ</t>
  </si>
  <si>
    <t>1ο ΔΗΜΟΤΙΚΟ ΣΧΟΛΕΙΟ ΦΕΡΩΝ-ΒΕΛΕΣΤΙΝΟΥ</t>
  </si>
  <si>
    <t>mail@1dim-feron.mag.sch.gr</t>
  </si>
  <si>
    <t>ΡΗΓΑ ΦΕΡΑΙΟΥ 71</t>
  </si>
  <si>
    <t>1ο  ΠΕΙΡΑΜΑΤΙΚΟ ΔΗΜΟΤΙΚΟ ΣΧΟΛΕΙΟ ΠΟΡΤΑΡΙΑΣ - Ν. ΤΣΟΠΟΤΟΣ</t>
  </si>
  <si>
    <t>dimporta@sch.gr</t>
  </si>
  <si>
    <t>ΠΟΡΤΑΡΙΑ</t>
  </si>
  <si>
    <t>2ο ΔΗΜΟΤΙΚΟ ΣΧΟΛΕΙΟ ΣΚΙΑΘΟΥ</t>
  </si>
  <si>
    <t>mail@2dim-skiath.mag.sch.gr</t>
  </si>
  <si>
    <t>2ο  ΔΗΜΟΤΙΚΟ ΣΧΟΛΕΙΟ ΦΕΡΩΝ-ΒΕΛΕΣΤΙΝΟΥ - ΡΗΓΑΣ ΒΕΛΕΣΤΙΝΛΗΣ</t>
  </si>
  <si>
    <t>mail@2dim-feron.mag.sch.gr</t>
  </si>
  <si>
    <t>3ο ΔΗΜΟΤΙΚΟ ΣΧΟΛΕΙΟ ΚΑΡΛΑΣ-ΚΑΝΑΛΙΩΝ</t>
  </si>
  <si>
    <t>mail@3dim-karlas.mag.sch.gr</t>
  </si>
  <si>
    <t>ΚΑΝΑΛΙΑ</t>
  </si>
  <si>
    <t>1ο ΝΗΠΙΑΓΩΓΕΙΟ ΣΚΙΑΘΟΥ</t>
  </si>
  <si>
    <t>mail@1nip-skiath.mag.sch.gr</t>
  </si>
  <si>
    <t>2ο ΝΗΠΙΑΓΩΓΕΙΟ ΦΕΡΩΝ-ΒΕΛΕΣΤΙΝΟΥ</t>
  </si>
  <si>
    <t>mail@2nip-feron.mag.sch.gr</t>
  </si>
  <si>
    <t>5ο ΔΗΜΟΤΙΚΟ ΣΧΟΛΕΙΟ ΒΟΛΟΥ</t>
  </si>
  <si>
    <t>mail@5dim-volou.mag.sch.gr</t>
  </si>
  <si>
    <t>ΔΗΜΟΤΙΚΟ ΣΧΟΛΕΙΟ ΣΟΥΡΠΗΣ</t>
  </si>
  <si>
    <t>mail@dim-sourp.mag.sch.gr</t>
  </si>
  <si>
    <t>ΣΟΥΡΠΗ</t>
  </si>
  <si>
    <t>26ο  ΔΗΜΟΤΙΚΟ ΣΧΟΛΕΙΟ ΒΟΛΟΥ</t>
  </si>
  <si>
    <t>mail@26dim-volou.mag.sch.gr</t>
  </si>
  <si>
    <t>ΑΓΙΟΥ ΓΕΩΡΓΙΟΥ -ΙΩΛΚΟΥ</t>
  </si>
  <si>
    <t>1ο ΔΗΜΟΤΙΚΟ ΣΧΟΛΕΙΟ ΑΛΜΥΡΟΥ</t>
  </si>
  <si>
    <t>mail@1dim-almyr.mag.sch.gr</t>
  </si>
  <si>
    <t>ΒΟΛΟΥ 4</t>
  </si>
  <si>
    <t>12ο ΔΗΜΟΤΙΚΟ ΣΧΟΛΕΙΟ ΒΟΛΟΥ</t>
  </si>
  <si>
    <t>12dimvol@sch.gr</t>
  </si>
  <si>
    <t>Γ.ΔΗΜΟΥ-ΚΥΠΡΟΥ</t>
  </si>
  <si>
    <t>3ο ΝΗΠΙΑΓΩΓΕΙΟ ΣΚΙΑΘΟΥ</t>
  </si>
  <si>
    <t>mail@3nip-skiath.mag.sch.gr</t>
  </si>
  <si>
    <t>3ο  ΝΗΠΙΑΓΩΓΕΙΟ   ΝΕΑΣ ΙΩΝΙΑΣ</t>
  </si>
  <si>
    <t>mail@3nip-n-ionias.mag.sch.gr</t>
  </si>
  <si>
    <t>Λ.ΕΙΡΗΝΗΣ 134</t>
  </si>
  <si>
    <t>5ο ΝΗΠΙΑΓΩΓΕΙΟ ΑΛΜΥΡΟΥ</t>
  </si>
  <si>
    <t>mail@5nip-almyr.mag.sch.gr</t>
  </si>
  <si>
    <t>Β.ΚΩΣΤΑΝΤΙΝΟΥ-ΚΟΡΑΗ</t>
  </si>
  <si>
    <t>Π.Ε. ΤΡΙΚΑΛΩΝ</t>
  </si>
  <si>
    <t>5ο ΝΗΠΙΑΓΩΓΕΙΟ ΤΡΙΚΑΛΩΝ</t>
  </si>
  <si>
    <t>mail@5nip-trikal.tri.sch.gr</t>
  </si>
  <si>
    <t>ΤΡΙΚΚΑΙΩΝ</t>
  </si>
  <si>
    <t>ΤΡΙΚΑΛΩΝ</t>
  </si>
  <si>
    <t>25ης Μαρτίου 27</t>
  </si>
  <si>
    <t>2ο ΝΗΠΙΑΓΩΓΕΙΟ ΤΡΙΚΑΛΩΝ</t>
  </si>
  <si>
    <t>mail@2nip-trikal.tri.sch.gr</t>
  </si>
  <si>
    <t>ΛΑΜΠΡΟΥ ΚΑΤΣΩΝΗ</t>
  </si>
  <si>
    <t>24ο ΝΗΠΙΑΓΩΓΕΙΟ ΤΡΙΚΑΛΩΝ</t>
  </si>
  <si>
    <t>mail@24nip-trikal.tri.sch.gr</t>
  </si>
  <si>
    <t>ΜΑΚΡΟΝΗΣΟΥ ΚΑΙ ΙΘΑΚΗΣ</t>
  </si>
  <si>
    <t>18ο ΝΗΠΙΑΓΩΓΕΙΟ ΤΡΙΚΑΛΩΝ</t>
  </si>
  <si>
    <t>mail@18nip-trikal.tri.sch.gr</t>
  </si>
  <si>
    <t>ΚΡΗΣΙΛΑΣ κ ΚΥΒΕΛΗΣ</t>
  </si>
  <si>
    <t>ΝΗΠΙΑΓΩΓΕΙΟ ΑΜΠΕΛΑΚΙΩΝ ΤΡΙΚΑΛΩΝ</t>
  </si>
  <si>
    <t>mail@nip-ampelak.tri.sch.gr</t>
  </si>
  <si>
    <t>ΑΜΠΕΛΑΚΙΩΝ</t>
  </si>
  <si>
    <t>ΑΜΠΕΛΑΚΙΑ</t>
  </si>
  <si>
    <t>23ο ΝΗΠΙΑΓΩΓΕΙΟ ΤΡΙΚΑΛΩΝ</t>
  </si>
  <si>
    <t>mail@23nip-trikal.tri.sch.gr</t>
  </si>
  <si>
    <t>ΕΥΒΟΙΑΣ 25</t>
  </si>
  <si>
    <t>7ο ΝΗΠΙΑΓΩΓΕΙΟ ΤΡΙΚΑΛΩΝ</t>
  </si>
  <si>
    <t>mail@7nip-trikal.tri.sch.gr</t>
  </si>
  <si>
    <t>ΛΕΡΟΥ 1</t>
  </si>
  <si>
    <t>31ο ΝΗΠΙΑΓΩΓΕΙΟ ΤΡΙΚΑΛΩΝ</t>
  </si>
  <si>
    <t>mail@31nip-trikal.tri.sch.gr</t>
  </si>
  <si>
    <t>ΙΑΣΟΝΟΣ</t>
  </si>
  <si>
    <t>17ο ΝΗΠΙΑΓΩΓΕΙΟ ΤΡΙΚΑΛΩΝ</t>
  </si>
  <si>
    <t>mail@17nip-trikal.tri.sch.gr</t>
  </si>
  <si>
    <t>11ο ΝΗΠΙΑΓΩΓΕΙΟ ΤΡΙΚΑΛΩΝ</t>
  </si>
  <si>
    <t>mail@11nip-trikal.tri.sch.gr</t>
  </si>
  <si>
    <t>ΘΕΟΠΕΤΡΑΣ</t>
  </si>
  <si>
    <t>33ο ΔΗΜΟΤΙΚΟ ΣΧΟΛΕΙΟ ΤΡΙΚΑΛΩΝ</t>
  </si>
  <si>
    <t>mail@33dim-trikal.tri.sch.gr</t>
  </si>
  <si>
    <t>Τρίκαλα</t>
  </si>
  <si>
    <t>ΜΑΤΑΡΑΓΚΙΩΤΟΥ ΚΑΙ ΕΛΛΗΝΙΚΟΥ ΣΤΡΑΤΟΥ</t>
  </si>
  <si>
    <t>31ο ΔΗΜΟΤΙΚΟ ΣΧΟΛΕΙΟ ΤΡΙΚΑΛΩΝ  "ΚΩΣΤΑΣ ΒΑΡΝΑΛΗΣ"</t>
  </si>
  <si>
    <t>mail@31dim-trikal.tri.sch.gr</t>
  </si>
  <si>
    <t>ΤΡΙΚΑΛΑ</t>
  </si>
  <si>
    <t>2ο ΔΗΜΟΤΙΚΟ ΣΧΟΛΕΙΟ ΟΙΧΑΛΙΑΣ</t>
  </si>
  <si>
    <t>mail@2dim-oichal.tri.sch.gr</t>
  </si>
  <si>
    <t>ΦΑΡΚΑΔΟΝΑΣ</t>
  </si>
  <si>
    <t>ΟΙΧΑΛΙΑ</t>
  </si>
  <si>
    <t>25ης Μαρτίου 38</t>
  </si>
  <si>
    <t>24ο ΔΗΜΟΤΙΚΟ ΣΧΟΛΕΙΟ ΤΡΙΚΑΛΩΝ</t>
  </si>
  <si>
    <t>mail@24dim-trikal.tri.sch.gr</t>
  </si>
  <si>
    <t>ΟΔΟΣ ΝΕΡΑΊΔΑΣ 2 - ΑΓΙΟΣ ΟΙΚΟΥΜΕΝΙΟΣ</t>
  </si>
  <si>
    <t>11ο ΔΗΜΟΤΙΚΟ ΣΧΟΛΕΙΟ ΤΡΙΚΑΛΩΝ</t>
  </si>
  <si>
    <t>mail@11dim-trikal.tri.sch.gr</t>
  </si>
  <si>
    <t>ΣΥΡΟΥ 1</t>
  </si>
  <si>
    <t>20ο ΔΗΜΟΤΙΚΟ ΣΧΟΛΕΙΟ ΤΡΙΚΑΛΩΝ</t>
  </si>
  <si>
    <t>mail@20dim-trikal.tri.sch.gr</t>
  </si>
  <si>
    <t>ΛΕΠΤΟΚΑΡΥΑ  ΤΡΙΚΑΛΩΝ  ΟΔΟΣ ΒΕΡΓΙΝΑΣ &amp; ΓΙΑΝΝΟΥΣΗ</t>
  </si>
  <si>
    <t>1ο ΔΗΜΟΤΙΚΟ ΣΧΟΛΕΙΟ ΟΙΧΑΛΙΑΣ</t>
  </si>
  <si>
    <t>mail@1dim-oichal.tri.sch.gr</t>
  </si>
  <si>
    <t>ΠΕΡΙΦΕΡΕΙΑΚΟΣ ΙΦΙΤΟΥ 2</t>
  </si>
  <si>
    <t>30ο ΔΗΜΟΤΙΚΟ ΣΧΟΛΕΙΟ ΤΡΙΚΑΛΩΝ</t>
  </si>
  <si>
    <t>mail@30dim-trikal.tri.sch.gr</t>
  </si>
  <si>
    <t>ΚΛΕΙΔΩΝΟΠΟΥΛΟΥ 55</t>
  </si>
  <si>
    <t>5ο ΔΗΜΟΤΙΚΟ ΣΧΟΛΕΙΟ ΤΡΙΚΑΛΩΝ "ΔΙΟΝΥΣΙΟΣ ΣΟΛΩΜΟΣ"</t>
  </si>
  <si>
    <t>mail@5dim-trikal.tri.sch.gr</t>
  </si>
  <si>
    <t>ΜΑΥΡΟΚΟΡΔΑΤΟΥ 79</t>
  </si>
  <si>
    <t>2ο ΔΗΜΟΤΙΚΟ ΣΧΟΛΕΙΟ ΚΑΛΑΜΠΑΚΑΣ</t>
  </si>
  <si>
    <t>mail@2dim-kalamp.tri.sch.gr</t>
  </si>
  <si>
    <t>ΜΕΤΕΩΡΩΝ</t>
  </si>
  <si>
    <t>ΚΑΛΑΜΠΑΚΑ</t>
  </si>
  <si>
    <t>Μ. ΓΚΙΚΑ 2</t>
  </si>
  <si>
    <t>3ο ΔΗΜΟΤΙΚΟ ΣΧΟΛΕΙΟ ΤΡΙΚΑΛΩΝ "ΚΩΣΤΑΣ ΒΙΡΒΟΣ"</t>
  </si>
  <si>
    <t>mail@3dim-trikal.tri.sch.gr</t>
  </si>
  <si>
    <t>ΑΒΕΡΩΦ 43</t>
  </si>
  <si>
    <t>1ο ΔΗΜΟΤΙΚΟ ΣΧΟΛΕΙΟ ΤΡΙΚΑΛΩΝ "ΔΩΡΟΘΕΟΣ ΣΧΟΛΑΡΙΟΣ"</t>
  </si>
  <si>
    <t>mail@1dim-trikal.tri.sch.gr</t>
  </si>
  <si>
    <t>ΔΕΡΒΕΝΑΚΙΩΝ ΚΑΙ ΝΤΑΗ</t>
  </si>
  <si>
    <t>ΔΗΜΟΤΙΚΟ ΣΧΟΛΕΙΟ ΖΑΡΚΟΥ</t>
  </si>
  <si>
    <t>mail@dim-zarkou.tri.sch.gr</t>
  </si>
  <si>
    <t>ΖΑΡΚΟ</t>
  </si>
  <si>
    <t>ΣΤΡΑΤΟΠΕΔΟΥ Α</t>
  </si>
  <si>
    <t>12ο ΔΗΜΟΤΙΚΟ ΣΧΟΛΕΙΟ ΤΡΙΚΑΛΩΝ</t>
  </si>
  <si>
    <t>mail@12dim-trikal.tri.sch.gr</t>
  </si>
  <si>
    <t>ΔΕΛΗΓΙΑΝΝΗ</t>
  </si>
  <si>
    <t>ΔΗΜΟΤΙΚΟ ΣΧΟΛΕΙΟ ΠΡΟΔΡΟΜΟΥ ΤΡΙΚΚΑΙΩΝ</t>
  </si>
  <si>
    <t>mail@dim-prodr.tri.sch.gr</t>
  </si>
  <si>
    <t>ΠΡΟΔΡΟΜΟΣ</t>
  </si>
  <si>
    <t>1ο ΔΗΜΟΤΙΚΟ ΣΧΟΛΕΙΟ ΦΑΡΚΑΔΟΝΑΣ</t>
  </si>
  <si>
    <t>mail@1dim-farkad.tri.sch.gr</t>
  </si>
  <si>
    <t>ΦΑΡΚΑΔΟΝΑ</t>
  </si>
  <si>
    <t>ΝΙΚ. ΠΛΑΣΤΗΡΑ 46</t>
  </si>
  <si>
    <t>4ο ΔΗΜΟΤΙΚΟ ΣΧΟΛΕΙΟ ΤΡΙΚΑΛΩΝ</t>
  </si>
  <si>
    <t>mail@4dim-trikal.tri.sch.gr</t>
  </si>
  <si>
    <t>Πλατεία Παναγίας Επισκέψεως</t>
  </si>
  <si>
    <t>ΔΗΜΟΤΙΚΟ ΣΧΟΛΕΙΟ ΚΕΦΑΛΟΒΡΥΣΟΥ ΤΡΙΚΑΛΩΝ -</t>
  </si>
  <si>
    <t>mail@dim-kefal.tri.sch.gr</t>
  </si>
  <si>
    <t>ΚΕΦΑΛΟΒΡΥΣΟ ΤΡΙΚΑΛΩΝ</t>
  </si>
  <si>
    <t>ΚΕΦΑΛΟΒΡΥΣΟ</t>
  </si>
  <si>
    <t>9ο ΔΗΜΟΤΙΚΟ ΣΧΟΛΕΙΟ ΤΡΙΚΑΛΩΝ</t>
  </si>
  <si>
    <t>mail@9dim-trikal.tri.sch.gr</t>
  </si>
  <si>
    <t>ΚΑΤΣΙΜΗΔΟΥ ΤΕΡΜΑ (ΕΝΑΝΤΙ ΚΛΕΙΣΤΟΥ ΓΥΜΝΑΣΤΗΡΙΟΥ)</t>
  </si>
  <si>
    <t>ΔΗΜΟΤΙΚΟ ΣΧΟΛΕΙΟ ΤΑΞΙΑΡΧΩΝ</t>
  </si>
  <si>
    <t>mail@dim-taxiarch.tri.sch.gr</t>
  </si>
  <si>
    <t>4ο ΝΗΠΙΑΓΩΓΕΙΟ ΚΑΛΑΜΠΑΚΑΣ</t>
  </si>
  <si>
    <t>mail@4nip-kalamp.tri.sch.gr</t>
  </si>
  <si>
    <t>ΗΠΕΙΡΟΥ &amp; ΠΥΘΑΓΟΡΑ</t>
  </si>
  <si>
    <t>3ο ΝΗΠΙΑΓΩΓΕΙΟ ΚΑΛΑΜΠΑΚΑΣ</t>
  </si>
  <si>
    <t>mail@3nip-kalamp.tri.sch.gr</t>
  </si>
  <si>
    <t>ΚΑΛΑΜΠΑΚΑΣ</t>
  </si>
  <si>
    <t>ΔΕΛΗΓΙΑΝΝΗ 16</t>
  </si>
  <si>
    <t>17ο ΔΗΜΟΤΙΚΟ ΣΧΟΛΕΙΟ ΤΡΙΚΑΛΩΝ</t>
  </si>
  <si>
    <t>mail@17dim-trikal.tri.sch.gr</t>
  </si>
  <si>
    <t>ΚΟΚΚΙΝΟΣ ΠΥΡΓΟΣ</t>
  </si>
  <si>
    <t>5ο ΝΗΠΙΑΓΩΓΕΙΟ ΚΑΛΑΜΠΑΚΑΣ</t>
  </si>
  <si>
    <t>mail@5nip-kalamp.tri.sch.gr</t>
  </si>
  <si>
    <t>ΣΡΑΤΗΓΟΥ ΚΑΤΣΙΜΗΤΡΟΥ 18</t>
  </si>
  <si>
    <t>1ο ΝΗΠΙΑΓΩΓΕΙΟ ΚΑΛΑΜΠΑΚΑΣ</t>
  </si>
  <si>
    <t>mail@1nip-kalamp.tri.sch.gr</t>
  </si>
  <si>
    <t>Χατζηπέτρου 40</t>
  </si>
  <si>
    <t>27ο ΔΗΜΟΤΙΚΟ ΣΧΟΛΕΙΟ ΤΡΙΚΑΛΩΝ - ΑΡΙΣΤΕΙΔΗΣ ΠΑΠΠΑΣ</t>
  </si>
  <si>
    <t>mail@27dim-trikal.tri.sch.gr</t>
  </si>
  <si>
    <t>ΕΥΚΛΗ 13</t>
  </si>
  <si>
    <t>2ο ΔΗΜΟΤΙΚΟ ΣΧΟΛΕΙΟ ΤΡΙΚΑΛΩΝ</t>
  </si>
  <si>
    <t>mail@2dim-trikal.tri.sch.gr</t>
  </si>
  <si>
    <t>ΠΑΡΟΔΟΣ ΚΑΡΔΙΤΣΗΣ</t>
  </si>
  <si>
    <t>ΝΗΠΙΑΓΩΓΕΙΟ ΠΥΛΗΣ ΤΡΙΚΑΛΩΝ</t>
  </si>
  <si>
    <t>mail@nip-pylis.tri.sch.gr</t>
  </si>
  <si>
    <t>ΠΥΛΗΣ</t>
  </si>
  <si>
    <t>ΠΥΛΗ</t>
  </si>
  <si>
    <t>10ο ΔΗΜΟΤΙΚΟ ΣΧΟΛΕΙΟ ΤΡΙΚΑΛΩΝ</t>
  </si>
  <si>
    <t>mail@10dim-trikal.tri.sch.gr</t>
  </si>
  <si>
    <t>ΚΑΣΤΡΑΚΙΔΟΥ ΚΑΙ ΜΑΚΕΔΟΝΙΑΣ ΤΕΡΜΑ</t>
  </si>
  <si>
    <t>35ο ΔΗΜΟΤΙΚΟ ΣΧΟΛΕΙΟ ΤΡΙΚΑΛΩΝ</t>
  </si>
  <si>
    <t>mail@35dim-trikal.tri.sch.gr</t>
  </si>
  <si>
    <t>ΔΗΜΟΤΙΚΟ ΣΧΟΛΕΙΟ ΜΕΓ. ΚΕΦΑΛΟΒΡΥΣΟΥ</t>
  </si>
  <si>
    <t>mail@dim-meg-kefal.tri.sch.gr</t>
  </si>
  <si>
    <t>ΜΕΓ. ΚΕΦΑΛΟΒΡΥΣΟ</t>
  </si>
  <si>
    <t>13ο ΔΗΜΟΤΙΚΟ ΣΧΟΛΕΙΟ ΤΡΙΚΑΛΩΝ</t>
  </si>
  <si>
    <t>mail@13dim-trikal.tri.sch.gr</t>
  </si>
  <si>
    <t>ΑΛ.ΠΑΠΑΝΑΣΤΑΣΙΟΥ  ΡΙΖΑΡΙΟ</t>
  </si>
  <si>
    <t>ΝΗΠΙΑΓΩΓΕΙΟ ΑΓΙΟΥ ΚΩΝΣΤΑΝΤΙΝΟΥ ΤΡΙΚΑΛΩΝ</t>
  </si>
  <si>
    <t>mail@nip-ag-konst.tri.sch.gr</t>
  </si>
  <si>
    <t>ΦΛΕΜΙΓΚ 6</t>
  </si>
  <si>
    <t>ΔΗΜΟΤΙΚΟ ΣΧΟΛΕΙΟ ΜΕΓΑΛΟΧΩΡΙΟΥ</t>
  </si>
  <si>
    <t>mail@dim-megal.tri.sch.gr</t>
  </si>
  <si>
    <t>ΜΕΓΑΛΟΧΩΡΙ</t>
  </si>
  <si>
    <t>ΛΑΡΙΣΗΣ</t>
  </si>
  <si>
    <t>33ο ΝΗΠΙΑΓΩΓΕΙΟ ΤΡΙΚΑΛΩΝ</t>
  </si>
  <si>
    <t>mail@nip-kouts.tri.sch.gr</t>
  </si>
  <si>
    <t>Γ. ΘΕΟΛΟΓΟΥ</t>
  </si>
  <si>
    <t>ΝΗΠΙΑΓΩΓΕΙΟ ΜΠΑΡΑΣ</t>
  </si>
  <si>
    <t>mail@nip-mparas.tri.sch.gr</t>
  </si>
  <si>
    <t>Π. ΚΑΣΤΡΑΚΙΔΟΥ ΚΑΙ ΙΟΥΣΤΙΝΙΑΝΟΥ</t>
  </si>
  <si>
    <t>4ο ΝΗΠΙΑΓΩΓΕΙΟ ΤΡΙΚΑΛΩΝ</t>
  </si>
  <si>
    <t>mail@4nip-trikal.tri.sch.gr</t>
  </si>
  <si>
    <t>ΤΕΡΜΑ ΗΡΑΚΛΕΟΥΣ</t>
  </si>
  <si>
    <t>3ο ΝΗΠΙΑΓΩΓΕΙΟ ΤΡΙΚΑΛΩΝ</t>
  </si>
  <si>
    <t>mail@3nip-trikal.tri.sch.gr</t>
  </si>
  <si>
    <t>8ο ΝΗΠΙΑΓΩΓΕΙΟ ΤΡΙΚΑΛΩΝ</t>
  </si>
  <si>
    <t>mail@8nip-trikal.tri.sch.gr</t>
  </si>
  <si>
    <t>ΑΓΑΡΙΣΤΗΣ ΜΠΑΡΑ</t>
  </si>
  <si>
    <t>12ο ΝΗΠΙΑΓΩΓΕΙΟ ΤΡΙΚΑΛΩΝ</t>
  </si>
  <si>
    <t>mail@12nip-trikal.tri.sch.gr</t>
  </si>
  <si>
    <t>ΜΑΒΙΛΗ ΠΑΡ. ΔΕΥΤΕΡΗ</t>
  </si>
  <si>
    <t>26ο ΔΗΜΟΤΙΚΟ ΣΧΟΛΕΙΟ ΤΡΙΚΑΛΩΝ</t>
  </si>
  <si>
    <t>mail@26dim-trikal.tri.sch.gr</t>
  </si>
  <si>
    <t>ΣΤΕΛΙΟΥ ΜΑΓΕΙΡΙΑ ΚΑΙ ΛΥΚΟΥΡΓΟΥ,  ΑΜΠΕΛΑΚΙΑ</t>
  </si>
  <si>
    <t>22ο ΝΗΠΙΑΓΩΓΕΙΟ ΤΡΙΚΑΛΩΝ</t>
  </si>
  <si>
    <t>mail@22nip-trikal.tri.sch.gr</t>
  </si>
  <si>
    <t>ΠΙΤΣΑΚΟΥ 1</t>
  </si>
  <si>
    <t>30ο ΝΗΠΙΑΓΩΓΕΙΟ ΤΡΙΚΑΛΩΝ</t>
  </si>
  <si>
    <t>mail@30nip-trikal.tri.sch.gr</t>
  </si>
  <si>
    <t>ΤΕΡΜΑ ΚΑΤΣΙΜΗΔΗ 7</t>
  </si>
  <si>
    <t>ΔΗΜΟΤΙΚΟ ΣΧΟΛΕΙΟ ΠΑΛΑΙΟΠΥΡΓΟΥ ΤΡΙΚΑΛΩΝ</t>
  </si>
  <si>
    <t>mail@dim-palaiop.tri.sch.gr</t>
  </si>
  <si>
    <t>ΠΑΛΑΙΟΠΥΡΓΟΣ</t>
  </si>
  <si>
    <t>28ο ΔΗΜΟΤΙΚΟ ΣΧΟΛΕΙΟ ΤΡΙΚΑΛΩΝ</t>
  </si>
  <si>
    <t>mail@28dim-trikal.tri.sch.gr</t>
  </si>
  <si>
    <t>Φιλοχώρου 8</t>
  </si>
  <si>
    <t>ΔΗΜΟΤΙΚΟ ΣΧΟΛΕΙΟ ΓΡΙΖΑΝΟΥ</t>
  </si>
  <si>
    <t>mail@dim-grizan.tri.sch.gr</t>
  </si>
  <si>
    <t>ΓΡΙΖΑΝΟ</t>
  </si>
  <si>
    <t>6ο ΔΗΜΟΤΙΚΟ ΣΧΟΛΕΙΟ ΤΡΙΚΑΛΩΝ</t>
  </si>
  <si>
    <t>mail@6dim-trikal.tri.sch.gr</t>
  </si>
  <si>
    <t>Εύβοιας 23</t>
  </si>
  <si>
    <t>4ο ΔΗΜΟΤΙΚΟ ΣΧΟΛΕΙΟ ΚΑΛΑΜΠΑΚΑΣ</t>
  </si>
  <si>
    <t>mail@4dim-kalamp.tri.sch.gr</t>
  </si>
  <si>
    <t>Καλαμπάκα</t>
  </si>
  <si>
    <t>1ο ΔΗΜΟΤΙΚΟ ΣΧΟΛΕΙΟ ΚΑΛΑΜΠΑΚΑΣ</t>
  </si>
  <si>
    <t>mail@1dim-kalamp.tri.sch.gr</t>
  </si>
  <si>
    <t>ΤΡΙΚΑΛΩΝ 25</t>
  </si>
  <si>
    <t>3ο ΔΗΜΟΤΙΚΟ ΣΧΟΛΕΙΟ ΚΑΛΑΜΠΑΚΑΣ</t>
  </si>
  <si>
    <t>mail@3dim-kalamp.tri.sch.gr</t>
  </si>
  <si>
    <t>Αγίου Στεφάνου 6</t>
  </si>
  <si>
    <t>16ο ΔΗΜΟΤΙΚΟ ΣΧΟΛΕΙΟ ΤΡΙΚΑΛΩΝ</t>
  </si>
  <si>
    <t>mail@16dim-trikal.tri.sch.gr</t>
  </si>
  <si>
    <t>18ο ΔΗΜΟΤΙΚΟ ΣΧΟΛΕΙΟ ΤΡΙΚΑΛΩΝ</t>
  </si>
  <si>
    <t>mail@18dim-trikal.tri.sch.gr</t>
  </si>
  <si>
    <t>ΚΗΠΑΚΙ</t>
  </si>
  <si>
    <t>7ο ΔΗΜΟΤΙΚΟ ΣΧΟΛΕΙΟ ΤΡΙΚΑΛΩΝ</t>
  </si>
  <si>
    <t>mail@7dim-trikal.tri.sch.gr</t>
  </si>
  <si>
    <t>ΠΥΛΗΣ ΚΑΙ ΕΙΡΗΝΗΣ 1</t>
  </si>
  <si>
    <t>32ο ΝΗΠΙΑΓΩΓΕΙΟ ΤΡΙΚΑΛΩΝ</t>
  </si>
  <si>
    <t>mail@32nip-trikal.tri.sch.gr</t>
  </si>
  <si>
    <t>ΚΗΠΑΚΙ ΤΡΙΚΑΛΩΝ</t>
  </si>
  <si>
    <t>ΔΗΜΟΤΙΚΟ ΣΧΟΛΕΙΟ ΠΥΛΗΣ ΤΡΙΚΑΛΩΝ</t>
  </si>
  <si>
    <t>mail@dim-pylis.tri.sch.gr</t>
  </si>
  <si>
    <t>ΑΓ. ΑΘΑΝΑΣΙΟΥ  7</t>
  </si>
  <si>
    <t>5ο ΔΗΜΟΤΙΚΟ ΣΧΟΛΕΙΟ ΚΑΛΑΜΠΑΚΑΣ</t>
  </si>
  <si>
    <t>mail@5dim-kalamp.tri.sch.gr</t>
  </si>
  <si>
    <t>Καλαμπάκα,</t>
  </si>
  <si>
    <t>Αγίων  Κωνσταντίνου  και   Ελένης</t>
  </si>
  <si>
    <t>ΙΟΝΙΩΝ ΝΗΣΩΝ</t>
  </si>
  <si>
    <t>Π.Ε. ΖΑΚΥΝΘΟΥ</t>
  </si>
  <si>
    <t>ΔΗΜΟΤΙΚΟ ΣΧΟΛΕΙΟ ΔΕΡΜΑΤΟΥΣΑΣ</t>
  </si>
  <si>
    <t>mail@dim-dermat.zak.sch.gr</t>
  </si>
  <si>
    <t>ΤΡΑΓΑΚΙ</t>
  </si>
  <si>
    <t>ΔΗΜΟΤΙΚΟ ΣΧΟΛΕΙΟ ΓΕΡΑΚΑΡΙΩΝ</t>
  </si>
  <si>
    <t>mail@dim-gerak.zak.sch.gr</t>
  </si>
  <si>
    <t>ΑΝΩ ΓΕΡΑΚΑΡΙΟ</t>
  </si>
  <si>
    <t>ΔΗΜΟΤΙΚΟ ΣΧΟΛΕΙΟ ΚΑΤΑΣΤΑΡΙΟΥ</t>
  </si>
  <si>
    <t>dimkatast@sch.gr</t>
  </si>
  <si>
    <t>ΚΑΤΑΣΤΑΡΙ</t>
  </si>
  <si>
    <t>4ο ΔΗΜΟΤΙΚΟ ΣΧΟΛΕΙΟ ΖΑΚΥΝΘΟΥ</t>
  </si>
  <si>
    <t>4dimzak@sch.gr</t>
  </si>
  <si>
    <t>ΖΑΚΥΝΘΟΣ</t>
  </si>
  <si>
    <t>ΥΦΑΝΤΟΥΡΓΕΙΩΝ 2</t>
  </si>
  <si>
    <t>ΝΗΠΙΑΓΩΓΕΙΟ ΚΑΤΑΣΤΑΡΙΟΥ</t>
  </si>
  <si>
    <t>mail@nip-katast.zak.sch.gr</t>
  </si>
  <si>
    <t>ΚΑΤΑΣΤΑΡΙΟΥ</t>
  </si>
  <si>
    <t>ΝΗΠΙΑΓΩΓΕΙΟ ΓΑΪΤΑΝΙΟΥ</t>
  </si>
  <si>
    <t>mail@nip-gaitan.zak.sch.gr</t>
  </si>
  <si>
    <t>ΓΑΪΤΑΝΙΟΥ</t>
  </si>
  <si>
    <t>ΓΑΪΤΑΝΙ</t>
  </si>
  <si>
    <t>2ο ΔΗΜΟΤΙΚΟ ΣΧΟΛΕΙΟ ΖΑΚΥΝΘΟΥ</t>
  </si>
  <si>
    <t>mail@2dim-zakynth.zak.sch.gr</t>
  </si>
  <si>
    <t>ΤΕΜΠΟΝΕΡΑ</t>
  </si>
  <si>
    <t>ΔΗΜΟΤΙΚΟ ΣΧΟΛΕΙΟ ΠΑΝΤΟΚΡΑΤΟΡΑ</t>
  </si>
  <si>
    <t>mail@dim-pantokr.zak.sch.gr</t>
  </si>
  <si>
    <t>ΠΑΝΤΟΚΡΑΤΟΡΑΣ</t>
  </si>
  <si>
    <t>ΝΗΠΙΑΓΩΓΕΙΟ ΑΡΓΑΣΙΟΥ</t>
  </si>
  <si>
    <t>mail@nip-argas.zak.sch.gr</t>
  </si>
  <si>
    <t>ΑΡΓΑΣΙΟΥ</t>
  </si>
  <si>
    <t>ΑΡΓΑΣΙ</t>
  </si>
  <si>
    <t>ΔΗΜΟΤΙΚΟ ΣΧΟΛΕΙΟ ΑΜΠΕΛΟΚΗΠΩΝ ΖΑΚΥΝΘΟΥ</t>
  </si>
  <si>
    <t>mail@dim-ampel.zak.sch.gr</t>
  </si>
  <si>
    <t>ΑΜΠΕΛΟΚΗΠΟΙ</t>
  </si>
  <si>
    <t>ΔΗΜΟΤΙΚΟ ΣΧΟΛΕΙΟ ΚΑΜΠΟΥ - ΠΑΝΑΓΙΩΤΗΣ ΧΙΩΤΗΣ</t>
  </si>
  <si>
    <t>mail@1dim-kampou.zak.sch.gr</t>
  </si>
  <si>
    <t>Βανάτο</t>
  </si>
  <si>
    <t>1ο ΝΗΠΙΑΓΩΓΕΙΟ ΖΑΚΥΝΘΟΥ - ΕΛΙΣΑΒΕΤ ΜΑΡΤΙΝΕΓΚΟΥ</t>
  </si>
  <si>
    <t>mail@1nip-zakynth.zak.sch.gr</t>
  </si>
  <si>
    <t>ΚΡΥΟΝΕΡΙΟΥ 40</t>
  </si>
  <si>
    <t>5ο ΔΗΜΟΤΙΚΟ ΣΧΟΛΕΙΟ ΖΑΚΥΝΘΟΥ</t>
  </si>
  <si>
    <t>mail@5dim-zakynth.zak.sch.gr</t>
  </si>
  <si>
    <t>ΝΕΕΣ ΕΡΓΑΤΙΚΕΣ ΚΑΤΟΙΚΙΕΣ</t>
  </si>
  <si>
    <t>6ο ΔΗΜΟΤΙΚΟ ΣΧΟΛΕΙΟ ΖΑΚΥΝΘΟΥ</t>
  </si>
  <si>
    <t>mail@6dim-zakynth.zak.sch.gr</t>
  </si>
  <si>
    <t>ΑΝΑΠΑΥΣΕΩΣ 26</t>
  </si>
  <si>
    <t>8/ Θ ΔΗΜΟΤΙΚΟ ΣΧΟΛΕΙΟ  ΜΟΥΖΑΚΙΟΥ</t>
  </si>
  <si>
    <t>mail@dim-mouzak.zak.sch.gr</t>
  </si>
  <si>
    <t>Μουζάκι</t>
  </si>
  <si>
    <t>Μουζάκι Ζακύνθου</t>
  </si>
  <si>
    <t>2ο ΔΗΜΟΤΙΚΟ ΣΧΟΛΕΙΟ ΡΙΖΑΣ</t>
  </si>
  <si>
    <t>mail@2dim-rizas.zak.sch.gr</t>
  </si>
  <si>
    <t>ΦΙΟΛΙΤΗΣ</t>
  </si>
  <si>
    <t>3ο ΔΗΜΟΤΙΚΟ ΣΧΟΛΕΙΟ ΖΑΚΥΝΘΟΥ ΑΜΜΟΥ</t>
  </si>
  <si>
    <t>mail@3dim-zakynth.zak.sch.gr</t>
  </si>
  <si>
    <t>ΑΓΙΟΥ ΔΙΟΝΥΣΙΟΥ 11</t>
  </si>
  <si>
    <t>3ο ΝΗΠΙΑΓΩΓΕΙΟ ΖΑΚΥΝΘΟΥ</t>
  </si>
  <si>
    <t>mail@3nip-zakynth.zak.sch.gr</t>
  </si>
  <si>
    <t>ΝΗΠΙΑΓΩΓΕΙΟ ΜΟΥΖΑΚΙΟΥ</t>
  </si>
  <si>
    <t>mail@nip-mouzak.zak.sch.gr</t>
  </si>
  <si>
    <t>ΑΓΡΙΛΙΑ</t>
  </si>
  <si>
    <t>ΝΗΠΙΑΓΩΓΕΙΟ ΑΜΠΕΛΟΚΗΠΩΝ</t>
  </si>
  <si>
    <t>mail@nip-ampel.zak.sch.gr</t>
  </si>
  <si>
    <t>ΑΜΠΕΛΟΚΗΠΩΝ</t>
  </si>
  <si>
    <t>ΝΗΠΙΑΓΩΓΕΙΟ ΚΑΛΑΜΑΚΙΟΥ</t>
  </si>
  <si>
    <t>mail@nip-kalam.zak.sch.gr</t>
  </si>
  <si>
    <t>ΚΑΛΑΜΑΚΙΟΥ</t>
  </si>
  <si>
    <t>ΚΑΛΑΜΑΚΙ</t>
  </si>
  <si>
    <t>4ο ΝΗΠΙΑΓΩΓΕΙΟ ΖΑΚΥΝΘΟΥ</t>
  </si>
  <si>
    <t>mail@4nip-zakynth.zak.sch.gr</t>
  </si>
  <si>
    <t>Ζακυνθος</t>
  </si>
  <si>
    <t>ΣΤΡΑΒΟΠΟΔΗ 16</t>
  </si>
  <si>
    <t>ΝΗΠΙΑΓΩΓΕΙΟ ΠΑΝΤΟΚΡΑΤΟΡΑ</t>
  </si>
  <si>
    <t>mail@nip-pantok.zak.sch.gr</t>
  </si>
  <si>
    <t>ΠΑΝΤΟΚΡΑΤΟΡΑ</t>
  </si>
  <si>
    <t>1ο ΔΗΜΟΤΙΚΟ ΣΧΟΛΕΙΟ ΡΙΖΑΣ</t>
  </si>
  <si>
    <t>mail@1dim-rizas.zak.sch.gr</t>
  </si>
  <si>
    <t>Λαγωπόδο</t>
  </si>
  <si>
    <t>3ο ΔΗΜΟΤΙΚΟ ΣΧΟΛΕΙΟ ΡΙΖΑΣ</t>
  </si>
  <si>
    <t>mail@3dim-rizas.zak.sch.gr</t>
  </si>
  <si>
    <t>ΣΚΟΥΛΗΚΑΔΟ</t>
  </si>
  <si>
    <t>ΔΗΜΟΤΙΚΟ ΣΧΟΛΕΙΟ ΛΙΘΑΚΙΑΣ ΖΑΚΥΝΘΟΥ</t>
  </si>
  <si>
    <t>mail@dim-lithak.zak.sch.gr</t>
  </si>
  <si>
    <t>ΛΙΘΑΚΙΑ</t>
  </si>
  <si>
    <t>ΛΙΘΑΚΙΑ  ΖΑΚΥΝΘΟΥ</t>
  </si>
  <si>
    <t>ΚΑΡΑΜΠΙΝΕΙΟ 1ο ΔΗΜΟΤΙΚΟ ΣΧΟΛΕΙΟ ΖΑΚΥΝΘΟΥ</t>
  </si>
  <si>
    <t>mail@1dim-zakynth.zak.sch.gr</t>
  </si>
  <si>
    <t>Ζάκυνθος</t>
  </si>
  <si>
    <t>ΔΙΟΝΥΣΙΟΥ ΡΩΜΑ 32</t>
  </si>
  <si>
    <t>ΝΗΠΙΑΓΩΓΕΙΟ ΒΑΝΑΤΟΥ</t>
  </si>
  <si>
    <t>mail@nip-vanat.zak.sch.gr</t>
  </si>
  <si>
    <t>ΒΑΝΑΤΟ</t>
  </si>
  <si>
    <t>2ο ΝΗΠΙΑΓΩΓΕΙΟ ΖΑΚΥΝΘΟΥ</t>
  </si>
  <si>
    <t>mail@2nip-zakynth.zak.sch.gr</t>
  </si>
  <si>
    <t>ΦΙΛΙΚΩΝ</t>
  </si>
  <si>
    <t>5ο ΝΗΠΙΑΓΩΓΕΙΟ ΖΑΚΥΝΘΟΥ</t>
  </si>
  <si>
    <t>mail@5nip-zakynth.zak.sch.gr</t>
  </si>
  <si>
    <t>ΒΑΡΒΑΚΗ 12</t>
  </si>
  <si>
    <t>Π.Ε. ΚΕΡΚΥΡΑΣ</t>
  </si>
  <si>
    <t>ΝΗΠΙΑΓΩΓΕΙΟ ΠΑΞΩΝ ΜΕ ΕΔΡΑ ΤΑ ΒΛΑΧΟΠΟΥΛΑΤΙΚΑ ΠΑΞΩΝ</t>
  </si>
  <si>
    <t>mail@nip-gaiou.ker.sch.gr</t>
  </si>
  <si>
    <t>ΠΑΞΩΝ</t>
  </si>
  <si>
    <t>ΓΑΪΟΣ ΠΑΞΩΝ</t>
  </si>
  <si>
    <t>12ο  ΝΗΠΙΑΓΩΓΕΙΟ ΚΕΡΚΥΡΑΣ</t>
  </si>
  <si>
    <t>mail@12nip-kerkyr.ker.sch.gr</t>
  </si>
  <si>
    <t>ΚΕΝΤΡΙΚΗΣ ΚΕΡΚΥΡΑΣ ΚΑΙ ΔΙΑΠΟΝΤΙΩΝ ΝΗΣΩΝ</t>
  </si>
  <si>
    <t>ΚΕΡΚΥΡΑ</t>
  </si>
  <si>
    <t>ΓΡΗΓΟΡΙΟΥ ΜΑΡΑΣΛΗ 34Α</t>
  </si>
  <si>
    <t>ΔΗΜΟΤΙΚΟ ΣΧΟΛΕΙΟ ΔΟΥΚΑΔΩΝ</t>
  </si>
  <si>
    <t>mail@dim-doukad.ker.sch.gr</t>
  </si>
  <si>
    <t>ΔΟΥΚΑΔΕΣ - ΚΕΡΚΥΡΑ</t>
  </si>
  <si>
    <t>ΔΟΥΚΑΔΕΣ- ΚΕΡΚΥΡΑ</t>
  </si>
  <si>
    <t>11ο ΝΗΠΙΑΓΩΓΕΙΟ ΚΕΡΚΥΡΑΣ</t>
  </si>
  <si>
    <t>mail@11nip-kerkyr.ker.sch.gr</t>
  </si>
  <si>
    <t>Οθωνών 14 ΚΟΥΛΙΝΕΣ</t>
  </si>
  <si>
    <t>11ο ΔΗΜΟΤΙΚΟ ΣΧΟΛΕΙΟ ΚΕΡΚΥΡΑΣ</t>
  </si>
  <si>
    <t>mail@11dim-kerkyr.ker.sch.gr</t>
  </si>
  <si>
    <t>Κέρκυρα</t>
  </si>
  <si>
    <t>Οθωνών 46-50</t>
  </si>
  <si>
    <t>ΔΗΜΟΤΙΚΟ ΣΧΟΛΕΙΟ ΓΙΑΝΝΑΔΩΝ</t>
  </si>
  <si>
    <t>mail@dim-giann.ker.sch.gr</t>
  </si>
  <si>
    <t>ΓΙΑΝΝΑΔΕΣ</t>
  </si>
  <si>
    <t>5ο ΔΗΜΟΤΙΚΟ ΣΧΟΛΕΙΟ ΚΕΡΚΥΡΑΣ</t>
  </si>
  <si>
    <t>mail@5dim-kerkyr.ker.sch.gr</t>
  </si>
  <si>
    <t>Ν. ΘΕΟΤΟΚΗ 97</t>
  </si>
  <si>
    <t>ΔΗΜΟΤΙΚΟ ΣΧΟΛΕΙΟ ΜΑΝΤΟΥΚΙΟΥ ΚΕΡΚΥΡΑΣ</t>
  </si>
  <si>
    <t>dimmantouk@sch.gr</t>
  </si>
  <si>
    <t>Μαντούκι</t>
  </si>
  <si>
    <t>Ξενοφ. Στρατηγού 58</t>
  </si>
  <si>
    <t>ΔΗΜΟΤΙΚΟ ΣΧΟΛΕΙΟ ΒΙΡΟΥ</t>
  </si>
  <si>
    <t>mail@dim-virou.ker.sch.gr</t>
  </si>
  <si>
    <t>ΒΙΡΟΣ-ΚΕΡΚΥΡΑΣ</t>
  </si>
  <si>
    <t>ΒΙΡΟΣ</t>
  </si>
  <si>
    <t>ΔΗΜΟΤΙΚΟ ΣΧΟΛΕΙΟ ΚΑΣΤΕΛΛΑΝΩΝ ΜΕΣΗΣ</t>
  </si>
  <si>
    <t>mail@dim-kastell.ker.sch.gr</t>
  </si>
  <si>
    <t>ΚΑΣΤΕΛΛΑΝΟΙ ΜΕΣΗΣ</t>
  </si>
  <si>
    <t>ΔΗΜΟΤΙΚΟ ΣΧΟΛΕΙΟ ΠΟΤΑΜΟΥ ΚΕΡΚΥΡΑΣ</t>
  </si>
  <si>
    <t>mail@dim-potam.ker.sch.gr</t>
  </si>
  <si>
    <t>Υ.Θ.ΕΛΕΟΥΣΗΣ</t>
  </si>
  <si>
    <t>ΝΗΠΙΑΓΩΓΕΙΟ ΑΛΕΠΟΥΣ</t>
  </si>
  <si>
    <t>mail@nip-alepous.ker.sch.gr</t>
  </si>
  <si>
    <t>ΑΛΕΠΟΥ</t>
  </si>
  <si>
    <t>1ο  ΔΗΜΟΤΙΚΟ ΣΧΟΛΕΙΟ ΚΕΡΚΥΡΑΣ</t>
  </si>
  <si>
    <t>mail@1dim-kerkyr.ker.sch.gr</t>
  </si>
  <si>
    <t>ΣΧΟΛΕΜΒΟΥΡΓΟΥ 20</t>
  </si>
  <si>
    <t>ΝΗΠΙΑΓΩΓΕΙΟ ΚΑΡΟΥΣΑΔΩΝ</t>
  </si>
  <si>
    <t>mail@nip-karous.ker.sch.gr</t>
  </si>
  <si>
    <t>ΒΟΡΕΙΑΣ ΚΕΡΚΥΡΑΣ</t>
  </si>
  <si>
    <t>ΚΑΡΟΥΣΑΔΕΣ</t>
  </si>
  <si>
    <t>ΔΗΜΟΤΙΚΟ ΣΧΟΛΕΙΟ ΣΙΝΑΡΑΔΩΝ</t>
  </si>
  <si>
    <t>dimsinar@sch.gr</t>
  </si>
  <si>
    <t>ΣΙΝΑΡΑΔΕΣ - ΚΕΡΚΥΡΑ</t>
  </si>
  <si>
    <t>4ο  ΔΗΜΟΤΙΚΟ ΣΧΟΛΕΙΟ ΛΕΥΚΙΜΜΗΣ - ΝΕΟΧΩΡΙΟΥ</t>
  </si>
  <si>
    <t>mail@4dim-lefkimm.ker.sch.gr</t>
  </si>
  <si>
    <t>ΝΟΤΙΑΣ ΚΕΡΚΥΡΑΣ</t>
  </si>
  <si>
    <t>ΛΕΥΚΙΜΜΗ</t>
  </si>
  <si>
    <t>ΔΗΜΟΤΙΚΟ ΣΧΟΛΕΙΟ ΠΑΛΙΑΣ ΠΟΛΗΣ ΚΕΡΚΥΡΑΣ</t>
  </si>
  <si>
    <t>mail@dim-p-polis.ker.sch.gr</t>
  </si>
  <si>
    <t>ΠΛΑΤΕΙΑ  ΨΩΡΟΥΛΑ 1</t>
  </si>
  <si>
    <t>ΔΗΜΟΤΙΚΟ ΣΧΟΛΕΙΟ ΛΙΑΠΑΔΩΝ</t>
  </si>
  <si>
    <t>mail@dim-liapad.ker.sch.gr</t>
  </si>
  <si>
    <t>Λιαπάδες</t>
  </si>
  <si>
    <t>ΔΗΜΟΤΙΚΟ ΣΧΟΛΕΙΟ ΚΑΡΟΥΣΑΔΩΝ</t>
  </si>
  <si>
    <t>mail@dim-karous.ker.sch.gr</t>
  </si>
  <si>
    <t>ΔΗΜΟΤΙΚΟ ΣΧΟΛΕΙΟ ΑΛΕΠΟΥΣ</t>
  </si>
  <si>
    <t>dimalepou@sch.gr</t>
  </si>
  <si>
    <t>Αλεπού</t>
  </si>
  <si>
    <t>Αλεπού Κέρκυρας</t>
  </si>
  <si>
    <t>ΝΗΠΙΑΓΩΓΕΙΟ ΠΟΤΑΜΟΥ</t>
  </si>
  <si>
    <t>mail@nip-potam.ker.sch.gr</t>
  </si>
  <si>
    <t>ΠΟΤΑΜΟΣ - ΚΕΡΚΥΡΑΣ</t>
  </si>
  <si>
    <t>2ο ΔΗΜΟΤΙΚΟ ΣΧΟΛΕΙΟ ΛΕΥΚΙΜΜΗΣ - ΡΙΓΓΛΑΔΩΝ</t>
  </si>
  <si>
    <t>mail@2dim-lefkim.ker.sch.gr</t>
  </si>
  <si>
    <t>ΛΕΥΚΙΜΜΗΣ</t>
  </si>
  <si>
    <t>ΡΙΓΓΛΑΔΩΝ 12</t>
  </si>
  <si>
    <t>ΔΗΜΟΤΙΚΟ ΣΧΟΛΕΙΟ ΚΑΝΑΛΙΩΝ ΚΕΡΚΥΡΑΣ</t>
  </si>
  <si>
    <t>mail@dim-kanal.ker.sch.gr</t>
  </si>
  <si>
    <t>8ο  ΝΗΠΙΑΓΩΓΕΙΟ ΚΕΡΚΥΡΑΣ</t>
  </si>
  <si>
    <t>mail@8nip-kerkyr.ker.sch.gr</t>
  </si>
  <si>
    <t>ΠΟΛΥΧΡΟΝΙΟΥ ΚΩΝΣΤΑΝΤΑ (ΛΥΚΕΙΑ)</t>
  </si>
  <si>
    <t>ΝΗΠΙΑΓΩΓΕΙΟ ΚΟΝΤΟΚΑΛΙΟΥ</t>
  </si>
  <si>
    <t>mail@nip-kontok.ker.sch.gr</t>
  </si>
  <si>
    <t>ΚΟΝΤΟΚΑΛΙ</t>
  </si>
  <si>
    <t>6 ΧΛΜ ΕΘΝΙΚΗΣ ΠΑΛΑΙΟΚΑΣΤΡΙΤΣΑΣ</t>
  </si>
  <si>
    <t>ΔΗΜΟΤΙΚΟ ΣΧΟΛΕΙΟ ΑΦΡΑΣ</t>
  </si>
  <si>
    <t>dimafras@sch.gr</t>
  </si>
  <si>
    <t>ΑΦΡΑ</t>
  </si>
  <si>
    <t>ΝΗΠΙΑΓΩΓΕΙΟ ΒΙΡΟΥ</t>
  </si>
  <si>
    <t>mail@nip-virou.ker.sch.gr</t>
  </si>
  <si>
    <t>ΔΗΜΟΤΙΚΟ ΣΧΟΛΕΙΟ ΑΓΙΟΥ ΜΑΤΘΑΙΟΥ</t>
  </si>
  <si>
    <t>mail@dim-ag-matth.ker.sch.gr</t>
  </si>
  <si>
    <t>ΑΓΙΟΣ ΜΑΤΘΑΙΟΣ</t>
  </si>
  <si>
    <t>ΝΗΠΙΑΓΩΓΕΙΟ ΠΕΡΟΥΛΑΔΩΝ</t>
  </si>
  <si>
    <t>mail@nip-peroul.ker.sch.gr</t>
  </si>
  <si>
    <t>ΠΕΡΟΥΛΑΔΕΣ</t>
  </si>
  <si>
    <t>12ο ΔΗΜΟΤΙΚΟ ΣΧΟΛΕΙΟ ΚΕΡΚΥΡΑΣ</t>
  </si>
  <si>
    <t>mail@12dim-kerkyr.ker.sch.gr</t>
  </si>
  <si>
    <t>ΜΑΡΑΣΛΗ 34</t>
  </si>
  <si>
    <t>ΣΧΟΛΙΚΟ ΚΕΝΤΡΟ ΠΑΞΩΝ</t>
  </si>
  <si>
    <t>mail@dim-profit.ker.sch.gr</t>
  </si>
  <si>
    <t>ΒΛΑΧΟΠΟΥΛΑΤΙΚΑ ΠΑΞΩΝ</t>
  </si>
  <si>
    <t>ΔΗΜΟΤΙΚΟ ΣΧΟΛΕΙΟ ΚΥΝΟΠΙΑΣΤΩΝ</t>
  </si>
  <si>
    <t>mail@dim-kynop.ker.sch.gr</t>
  </si>
  <si>
    <t>ΚΥΝΟΠΙΑΣΤΕΣ ΚΕΡΚΥΡΑΣ</t>
  </si>
  <si>
    <t>ΜΗΛΙΑ ΚΥΝΟΠΙΑΣΤΩΝ</t>
  </si>
  <si>
    <t>ΝΗΠΙΑΓΩΓΕΙΟ ΚΥΝΟΠΙΑΣΤΩΝ</t>
  </si>
  <si>
    <t>mail@nip-kynop.ker.sch.gr</t>
  </si>
  <si>
    <t>ΚΥΝΟΠΙΑΣΤΩΝ</t>
  </si>
  <si>
    <t>ΝΗΠΙΑΓΩΓΕΙΟ ΑΓΙΟΥ ΜΑΡΚΟΥ</t>
  </si>
  <si>
    <t>mail@nip-ag-markou.ker.sch.gr</t>
  </si>
  <si>
    <t>ΑΓΙΟΣ ΜΑΡΚΟΣ</t>
  </si>
  <si>
    <t>ΝΗΠΙΑΓΩΓΕΙΟ ΑΓΙΟΥ ΜΑΤΘΑΙΟΥ</t>
  </si>
  <si>
    <t>mail@nip-ag-matth.ker.sch.gr</t>
  </si>
  <si>
    <t>ΔΗΜΟΤΙΚΟ ΣΧΟΛΕΙΟ ΑΓΙΟΣ ΜΑΡΚΟΣ</t>
  </si>
  <si>
    <t>mail@dim-ag-markou.ker.sch.gr</t>
  </si>
  <si>
    <t>ΚΕΡΚΥΡΑ-ΦΑΙΑΚΕΣ</t>
  </si>
  <si>
    <t>Άγιος Μάρκος-Πυργί</t>
  </si>
  <si>
    <t>ΝΗΠΙΑΓΩΓΕΙΟ ΑΧΑΡΑΒΗΣ</t>
  </si>
  <si>
    <t>mail@nip-achar.ker.sch.gr</t>
  </si>
  <si>
    <t>ΑΧΑΡΑΒΗ</t>
  </si>
  <si>
    <t>6ο ΔΗΜΟΤΙΚΟ ΣΧΟΛΕΙΟ ΚΕΡΚΥΡΑΣ</t>
  </si>
  <si>
    <t>mail@6dim-kerkyr.ker.sch.gr</t>
  </si>
  <si>
    <t>ΚΥΠΡΟΥ 1</t>
  </si>
  <si>
    <t>14ο  ΔΗΜΟΤΙΚΟ ΣΧΟΛΕΙΟ ΚΕΡΚΥΡΑΣ</t>
  </si>
  <si>
    <t>mail@14dim-kerkyr.ker.sch.gr</t>
  </si>
  <si>
    <t>ΔΑΙΡΠΦΕΛΔ 13</t>
  </si>
  <si>
    <t>9ο ΔΗΜΟΤΙΚΟ ΣΧΟΛΕΙΟ ΚΕΡΚΥΡΑΣ</t>
  </si>
  <si>
    <t>mail@9dim-kerkyr.ker.sch.gr</t>
  </si>
  <si>
    <t>Αλέξανδρου Παναγούλη 19</t>
  </si>
  <si>
    <t>14ο ΠΕΙΡΑΜΑΤΙΚΟ ΝΗΠΙΑΓΩΓΕΙΟ ΚΕΡΚΥΡΑΣ</t>
  </si>
  <si>
    <t>mail@14nip-kerkyr.ker.sch.gr</t>
  </si>
  <si>
    <t>ΝΗΠΙΑΓΩΓΕΙΟ ΚΑΒΒΑΔΑΔΩΝ</t>
  </si>
  <si>
    <t>mail@nip-kavvad.ker.sch.gr</t>
  </si>
  <si>
    <t>ΚΑΒΒΑΔΑΔΕΣ</t>
  </si>
  <si>
    <t>ΝΗΠΙΑΓΩΓΕΙΟ ΑΓΡΟΥ</t>
  </si>
  <si>
    <t>mail@nip-agrou.ker.sch.gr</t>
  </si>
  <si>
    <t>ΑΓΡΟΣ</t>
  </si>
  <si>
    <t>6ο ΝΗΠΙΑΓΩΓΕΙΟ ΚΕΡΚΥΡΑΣ</t>
  </si>
  <si>
    <t>mail@6nip-kerkyr.ker.sch.gr</t>
  </si>
  <si>
    <t>4ο ΝΗΠΙΑΓΩΓΕΙΟ ΚΕΡΚΥΡΑΣ</t>
  </si>
  <si>
    <t>mail@4nip-kerkyr.ker.sch.gr</t>
  </si>
  <si>
    <t>ΑΘΗΝΑΓΟΡΑ ΚΑΒΒΑΔΑ 7</t>
  </si>
  <si>
    <t>ΔΗΜΟΤΙΚΟ ΣΧΟΛΕΙΟ ΚΟΝΤΟΚΑΛΙΟΥ</t>
  </si>
  <si>
    <t>1dimkont@sch.gr</t>
  </si>
  <si>
    <t>Κοντόκαλι</t>
  </si>
  <si>
    <t>ΔΗΜΟΤΙΚΟ ΣΧΟΛΕΙΟ ΚΑΣΣΙΟΠΗΣ</t>
  </si>
  <si>
    <t>mail@dim-kassiop.ker.sch.gr</t>
  </si>
  <si>
    <t>ΚΑΣΣΙΟΠΗ</t>
  </si>
  <si>
    <t>2ο ΔΗΜΟΤΙΚΟ ΣΧΟΛΕΙΟ ΚΟΡΙΣΣΙΩΝ - ΠΕΡΙΒΟΛΙΟΥ</t>
  </si>
  <si>
    <t>mail@dim-periv.ker.sch.gr</t>
  </si>
  <si>
    <t>ΠΕΡΙΒΟΛΙΟΥ ΚΟΡΙΣΣΙΩΝ</t>
  </si>
  <si>
    <t>ΠΕΡΙΒΟΛΙ ΛΕΥΚΙΜΜΗ</t>
  </si>
  <si>
    <t>3ο  ΔΗΜΟΤΙΚΟ ΣΧΟΛΕΙΟ ΚΟΡΙΣΣΙΩΝ- ΠΕΤΡΙΤΗ</t>
  </si>
  <si>
    <t>mail@dim-petret.ker.sch.gr</t>
  </si>
  <si>
    <t>ΠΕΤΡΙΤΗΣ ΔΗΜΟΥ ΝΟΤΙΑΣ ΚΕΡΚΥΡΑΣ</t>
  </si>
  <si>
    <t>ΔΗΜΟΤΙΚΟ ΣΧΟΛΕΙΟ ΜΕΛΙΤΕΙΕΩΝ ΚΕΡΚΥΡΑΣ</t>
  </si>
  <si>
    <t>mail@dim-vragk.ker.sch.gr</t>
  </si>
  <si>
    <t xml:space="preserve"> ΚΕΡΚΥΡΑΣ</t>
  </si>
  <si>
    <t>ΒΡΑΓΚΑΝΙΩΤΙΚΑ</t>
  </si>
  <si>
    <t>2ο ΝΗΠΙΑΓΩΓΕΙΟ ΛΕΥΚΙΜΜΗΣ - ΡΙΓΓΛΑΔΩΝ</t>
  </si>
  <si>
    <t>mail@2nip-lefkimm.ker.sch.gr</t>
  </si>
  <si>
    <t>1ο ΔΗΜΟΤΙΚΟ ΣΧΟΛΕΙΟ ΛΕΥΚΙΜΜΗΣ-ΜΕΛΙΚΙΩΝ</t>
  </si>
  <si>
    <t>mail@1dim-lefkimm.ker.sch.gr</t>
  </si>
  <si>
    <t>Λευκίμμη</t>
  </si>
  <si>
    <t>21ης Μαρτίου 468</t>
  </si>
  <si>
    <t>ΔΗΜΟΤΙΚΟ ΣΧΟΛΕΙΟ ΚΑΤΩ ΚΟΡΑΚΙΑΝΑΣ</t>
  </si>
  <si>
    <t>mail@dim-kat-korak.ker.sch.gr</t>
  </si>
  <si>
    <t>ΚΑΤΩ ΚΟΡΑΚΙΑΝΑ</t>
  </si>
  <si>
    <t>ΣΧΟΛΙΚΟ ΚΕΝΤΡΟ ΑΓΡΟΥ</t>
  </si>
  <si>
    <t>dimagrou@sch.gr</t>
  </si>
  <si>
    <t>ΑΓΡΟΣ ΚΕΡΚΥΡΑ</t>
  </si>
  <si>
    <t>ΑΓΡΟΣ ΚΕΡΚΥΡΑΣ</t>
  </si>
  <si>
    <t>ΔΗΜΟΤΙΚΟ ΣΧΟΛΕΙΟ ΑΥΛΙΩΤΩΝ</t>
  </si>
  <si>
    <t>mail@dim-avliot.ker.sch.gr</t>
  </si>
  <si>
    <t>ΑΥΛΙΩΤΕΣ</t>
  </si>
  <si>
    <t>1ο  ΣΧΟΛΙΚΟ ΚΕΝΤΡΟ ΘΙΝΑΛΙΩΝ</t>
  </si>
  <si>
    <t>mail@dim-thinal.ker.sch.gr</t>
  </si>
  <si>
    <t>ΣΧΟΛΙΚΟ ΚΕΝΤΡΟ ΒΕΛΟΝΑΔΩΝ</t>
  </si>
  <si>
    <t>mail@dim-velon.ker.sch.gr</t>
  </si>
  <si>
    <t>ΒΕΛΟΝΑΔΕΣ</t>
  </si>
  <si>
    <t>ΔΗΜΟΤΙΚΟ ΣΧΟΛΕΙΟ ΓΑΣΤΟΥΡΙΟΥ</t>
  </si>
  <si>
    <t>mail@dim-gastour.ker.sch.gr</t>
  </si>
  <si>
    <t>ΓΑΣΤΟΥΡΙ</t>
  </si>
  <si>
    <t>2ο  ΣΧΟΛΙΚΟ ΚΕΝΤΡΟ ΘΙΝΑΛΙΩΝ</t>
  </si>
  <si>
    <t>mail@dim-nymfon.ker.sch.gr</t>
  </si>
  <si>
    <t>ΠΛΑΤΩΝΑΣ-ΝΥΜΦΕΣ ΚΕΡΚΥΡΑΣ</t>
  </si>
  <si>
    <t>ΠΛΑΤΩΝΑΣ</t>
  </si>
  <si>
    <t>ΔΗΜΟΤΙΚΟ ΣΧΟΛΕΙΟ  ΑΓΙΟΥ ΙΩΑΝΝΗ</t>
  </si>
  <si>
    <t>dimagio@sch.gr</t>
  </si>
  <si>
    <t>10ο  ΔΗΜΟΤΙΚΟ ΣΧΟΛΕΙΟ ΚΕΡΚΥΡΑΣ</t>
  </si>
  <si>
    <t>mail@10dim-kerkyr.ker.sch.gr</t>
  </si>
  <si>
    <t>ΝΑΥΣΙΚΑΣ 18</t>
  </si>
  <si>
    <t>7ο  ΔΗΜΟΤΙΚΟ ΣΧΟΛΕΙΟ ΚΕΡΚΥΡΑΣ</t>
  </si>
  <si>
    <t>mail@7dim-kerkyr.ker.sch.gr</t>
  </si>
  <si>
    <t>7Η ΠΑΡΟΔΟΣ ΔΟΝΑΤΟΥ ΔΗΜΟΥΛΙΤΣΑ 7</t>
  </si>
  <si>
    <t>13ο ΔΗΜΟΤΙΚΟ ΣΧΟΛΕΙΟ ΚΕΡΚΥΡΑΣ</t>
  </si>
  <si>
    <t>mail@13dim-kerkyr.ker.sch.gr</t>
  </si>
  <si>
    <t>ΜΙΛΤΙΑΔΗ ΜΑΡΓΑΡΙΤΗ 68</t>
  </si>
  <si>
    <t>7ο ΝΗΠΙΑΓΩΓΕΙΟ ΚΕΡΚΥΡΑΣ</t>
  </si>
  <si>
    <t>mail@7nip-kerkyr.ker.sch.gr</t>
  </si>
  <si>
    <t>Πολεοδόμου Στ. Βούλγαρη</t>
  </si>
  <si>
    <t>9ο ΝΗΠΙΑΓΩΓΕΙΟ ΚΕΡΚΥΡΑΣ</t>
  </si>
  <si>
    <t>mail@9nip-kerkyr.ker.sch.gr</t>
  </si>
  <si>
    <t>ΑΛΕΞΑΝΔΡΟΥ ΠΑΝΑΓΟΥΛΗ 12B</t>
  </si>
  <si>
    <t>13ο  ΝΗΠΙΑΓΩΓΕΙΟ ΚΕΡΚΥΡΑΣ</t>
  </si>
  <si>
    <t>mail@13nip-kerkyr.ker.sch.gr</t>
  </si>
  <si>
    <t>ΑΙΜΑΤΟΛΟΓΟΥ ΗΛΙΑ ΠΟΛΙΤΗ 30</t>
  </si>
  <si>
    <t>ΝΗΠΙΑΓΩΓΕΙΟ ΑΦΡΑΣ</t>
  </si>
  <si>
    <t>mail@nip-afras.ker.sch.gr</t>
  </si>
  <si>
    <t>4ο ΠΕΙΡΑΜΑΤΙΚΟ ΔΗΜΟΤΙΚΟ ΣΧΟΛΕΙΟ ΚΕΡΚΥΡΑΣ - "ΑΘΗΝΑΓΟΡΕΙΟ"</t>
  </si>
  <si>
    <t>mail@4dim-kerkyr.ker.sch.gr</t>
  </si>
  <si>
    <t>ΝΗΠΙΑΓΩΓΕΙΟ ΚΑΤΩ ΚΟΡΑΚΙΑΝΑ</t>
  </si>
  <si>
    <t>mail@nip-kat-korak.ker.sch.gr</t>
  </si>
  <si>
    <t>ΝΗΠΙΑΓΩΓΕΙΟ ΚΑΝΑΛΙΩΝ</t>
  </si>
  <si>
    <t>mail@nip-kanal.ker.sch.gr</t>
  </si>
  <si>
    <t>ΚΑΝΑΛΙΩΝ</t>
  </si>
  <si>
    <t>Π.Ε. ΚΕΦΑΛΛΗΝΙΑΣ</t>
  </si>
  <si>
    <t>2ο  ΝΗΠΙΑΓΩΓΕΙΟ ΑΡΓΟΣΤΟΛΙΟΥ</t>
  </si>
  <si>
    <t>mail@2nip-argost.kef.sch.gr</t>
  </si>
  <si>
    <t>ΑΡΓΟΣΤΟΛΙΟΥ</t>
  </si>
  <si>
    <t>ΑΡΓΟΣΤΟΛΙ</t>
  </si>
  <si>
    <t>Ν.ΣΚΛΑΒΟΥ 22</t>
  </si>
  <si>
    <t>4ο  ΝΗΠΙΑΓΩΓΕΙΟ ΑΡΓΟΣΤΟΛΙΟΥ</t>
  </si>
  <si>
    <t>mail@4nip-argost.kef.sch.gr</t>
  </si>
  <si>
    <t>Π ΒΑΣΙΛΑΤΟΥ 2</t>
  </si>
  <si>
    <t>4ο  ΔΗΜΟΤΙΚΟ ΣΧΟΛΕΙΟ ΑΡΓΟΣΤΟΛΙΟΥ</t>
  </si>
  <si>
    <t>mail@4dim-argost.kef.sch.gr</t>
  </si>
  <si>
    <t>Χαροκόπου  40</t>
  </si>
  <si>
    <t>2ο  ΝΗΠΙΑΓΩΓΕΙΟ ΛΗΞΟΥΡΙΟΥ</t>
  </si>
  <si>
    <t>mail@2nip-lixour.kef.sch.gr</t>
  </si>
  <si>
    <t>ΛΗΞΟΥΡΙΟΥ</t>
  </si>
  <si>
    <t>ΛΗΞΟΥΡΙ</t>
  </si>
  <si>
    <t>ΝΙΚΟΥ ΜΠΕΛΟΓΙΑΝΝΗ 4</t>
  </si>
  <si>
    <t>1ο ΔΗΜΟΤΙΚΟ ΣΧΟΛΕΙΟ ΑΡΓΟΣΤΟΛΙΟΥ</t>
  </si>
  <si>
    <t>mail@1dim-argost.kef.sch.gr</t>
  </si>
  <si>
    <t>ΗΛΙΑ ΖΕΡΒΟΥ 10</t>
  </si>
  <si>
    <t>ΔΗΜΟΤΙΚΟ ΣΧΟΛΕΙΟ ΙΘΑΚΗΣ</t>
  </si>
  <si>
    <t>mail@dim-ithakis.kef.sch.gr</t>
  </si>
  <si>
    <t>ΙΘΑΚΗΣ</t>
  </si>
  <si>
    <t>ΙΘΑΚΗ</t>
  </si>
  <si>
    <t>2ο ΔΗΜΟΤΙΚΟ ΣΧΟΛΕΙΟ ΑΡΓΟΣΤΟΛΙΟΥ</t>
  </si>
  <si>
    <t>mail@2dim-argost.kef.sch.gr</t>
  </si>
  <si>
    <t>Αργοστόλι</t>
  </si>
  <si>
    <t>ΔΗΜΟΤΙΚΟ ΣΧΟΛΕΙΟ ΣΑΜΗΣ</t>
  </si>
  <si>
    <t>mail@dim-samis.kef.sch.gr</t>
  </si>
  <si>
    <t>ΣΑΜΗΣ</t>
  </si>
  <si>
    <t>ΣΑΜΗ</t>
  </si>
  <si>
    <t>ΧΩΡΟΦΥΛΑΚΗΣ  2</t>
  </si>
  <si>
    <t>ΔΗΜΟΤΙΚΟ ΣΧΟΛΕΙΟ ΣΚΑΛΑΣ ΚΕΦΑΛΛΗΝΙΑΣ</t>
  </si>
  <si>
    <t>mail@dim-skalas.kef.sch.gr</t>
  </si>
  <si>
    <t>ΣΚΑΛΑ</t>
  </si>
  <si>
    <t>ΔΗΜΟΤΙΚΟ ΣΧΟΛΕΙΟ ΚΕΡΑΜΕΙΩΝ</t>
  </si>
  <si>
    <t>mail@dim-keram.kef.sch.gr</t>
  </si>
  <si>
    <t>ΚΕΡΑΜΕΙΕΣ</t>
  </si>
  <si>
    <t>ΔΗΜΟΤΙΚΟ ΣΧΟΛΕΙΟ ΜΕΣΟΒΟΥΝΙΩΝ</t>
  </si>
  <si>
    <t>mail@dim-mesov.kef.sch.gr</t>
  </si>
  <si>
    <t>ΤΟΥΛΙΑΤΑ ΕΡΙΣΟΥ</t>
  </si>
  <si>
    <t>ΠΕΚΟΥΛΑΡΙ</t>
  </si>
  <si>
    <t>2ο  ΔΗΜΟΤΙΚΟ ΣΧΟΛΕΙΟ ΛΗΞΟΥΡΙΟΥ</t>
  </si>
  <si>
    <t>mail@2dim-lixour.kef.sch.gr</t>
  </si>
  <si>
    <t>21ΗΣ ΜΑΪΟΥ &amp; ΣΤΥΛ. ΤΥΠΑΛΔΟΥ</t>
  </si>
  <si>
    <t>ΝΗΠΙΑΓΩΓΕΙΟ ΚΕΡΑΜΕΙΩΝ ΚΕΦΑΛΟΝΙΑΣ</t>
  </si>
  <si>
    <t>mail@nip-keram.kef.sch.gr</t>
  </si>
  <si>
    <t>1ο   ΔΗΜΟΤΙΚΟ ΣΧΟΛΕΙΟ ΛΗΞΟΥΡΙΟΥ</t>
  </si>
  <si>
    <t>mail@1dim-lixour.kef.sch.gr</t>
  </si>
  <si>
    <t>ΓΡΗΓΟΡΙΟΥ ΛΑΜΠΡΑΚΗ 3</t>
  </si>
  <si>
    <t>ΝΗΠΙΑΓΩΓΕΙΟ ΙΘΑΚΗΣ</t>
  </si>
  <si>
    <t>mail@nip-ithak.kef.sch.gr</t>
  </si>
  <si>
    <t>ΒΑΘΥ</t>
  </si>
  <si>
    <t>5ο   ΔΗΜΟΤΙΚΟ  ΣΧΟΛΕΙΟ ΑΡΓΟΣΤΟΛΙΟΥ</t>
  </si>
  <si>
    <t>mail@5dim-argost.kef.sch.gr</t>
  </si>
  <si>
    <t>Π. ΒΑΣΙΛΑΤΟΥ 2</t>
  </si>
  <si>
    <t>ΔΗΜΟΤΙΚΟ ΣΧΟΛΕΙΟ ΒΛΑΧΑΤΩΝ</t>
  </si>
  <si>
    <t>mail@dim-vlach.kef.sch.gr</t>
  </si>
  <si>
    <t>ΒΛΑΧΑΤΑ</t>
  </si>
  <si>
    <t>3ο ΝΗΠΙΑΓΩΓΕΙΟ ΑΡΓΟΣΤΟΛΙΟΥ</t>
  </si>
  <si>
    <t>mail@3nip-argost.kef.sch.gr</t>
  </si>
  <si>
    <t>ΛΕΩΦΟΡΟΣ ΑΝΤΩΝΗ ΤΡΙΤΣΗ (ΙΟΝΙΟ ΠΑΝ/ΜΙΟ)</t>
  </si>
  <si>
    <t>2/Θ ΝΗΠΙΑΓΩΓΕΙΟ ΣΑΜΗΣ</t>
  </si>
  <si>
    <t>mail@nip-samis.kef.sch.gr</t>
  </si>
  <si>
    <t>1ο ΝΗΠΙΑΓΩΓΕΙΟ ΛΗΞΟΥΡΙΟΥ</t>
  </si>
  <si>
    <t>mail@1nip-lixour.kef.sch.gr</t>
  </si>
  <si>
    <t>ΓΡ. ΛΑΜΠΡΑΚΗ 70</t>
  </si>
  <si>
    <t>ΔΗΜΟΤΙΚΟ ΣΧΟΛΕΙΟ ΠΟΡΟΥ</t>
  </si>
  <si>
    <t>mail@dim-porou.kef.sch.gr</t>
  </si>
  <si>
    <t>Παπαφλέσσα 20</t>
  </si>
  <si>
    <t>3ο ΔΗΜΟΤΙΚΟ ΣΧΟΛΕΙΟ ΑΡΓΟΣΤΟΛΙΟΥ</t>
  </si>
  <si>
    <t>mail@3dim-argost.kef.sch.gr</t>
  </si>
  <si>
    <t>ΚΕΦΑΛΟΥ 22</t>
  </si>
  <si>
    <t>6ο ΔΗΜΟΤΙΚΟ ΣΧΟΛΕΙΟ ΑΡΓΟΣΤΟΛΙΟΥ</t>
  </si>
  <si>
    <t>mail@6dim-argost.kef.sch.gr</t>
  </si>
  <si>
    <t>ΝΕΟΣ ΠΕΡΙΦΕΡΕΙΑΚΟΣ ΑΡΓΟΣΤΟΛΙΟΥ</t>
  </si>
  <si>
    <t>5ο  ΝΗΠΙΑΓΩΓΕΙΟ ΑΡΓΟΣΤΟΛΙΟΥ</t>
  </si>
  <si>
    <t>mail@5nip-argost.kef.sch.gr</t>
  </si>
  <si>
    <t>Δ.ΔΕΛΛΑΔΕΤΣΙΜΑ (ΠΛΗΣΙΟΝ ΞΕΝΙΑ)</t>
  </si>
  <si>
    <t>Π.Ε. ΛΕΥΚΑΔΑΣ</t>
  </si>
  <si>
    <t>ΔΗΜΟΤΙΚΟ ΣΧΟΛΕΙΟ ΜΕΓΑΝΗΣΙΟΥ</t>
  </si>
  <si>
    <t>mail@dim-megan.lef.sch.gr</t>
  </si>
  <si>
    <t>ΜΕΓΑΝΗΣΙΟΥ</t>
  </si>
  <si>
    <t>ΜΕΓΑΝΗΣΙ</t>
  </si>
  <si>
    <t>ΚΑΤΩΜΕΡΙ</t>
  </si>
  <si>
    <t>3ο ΠΕΙΡΑΜΑΤΙΚΟ ΔΗΜΟΤΙΚΟ ΣΧΟΛΕΙΟ ΛΕΥΚΑΔΑΣ</t>
  </si>
  <si>
    <t>mail@3dim-lefkad.lef.sch.gr</t>
  </si>
  <si>
    <t>ΛΕΥΚΑΔΑΣ</t>
  </si>
  <si>
    <t>ΛΕΥΚΑΔΑ</t>
  </si>
  <si>
    <t>ΒΑΡΔΑΝΙΑ</t>
  </si>
  <si>
    <t>1ο ΝΗΠΙΑΓΩΓΕΙΟ ΝΥΔΡΙΟΥ</t>
  </si>
  <si>
    <t>mail@1nip-nydriou.lef.sch.gr</t>
  </si>
  <si>
    <t>ΝΥΔΡΙ</t>
  </si>
  <si>
    <t>ΠΕΡΙΦΕΡΕΙΑΚΗ ΝΥΔΡΙΟΥ</t>
  </si>
  <si>
    <t>ΔΗΜΟΤΙΚΟ ΣΧΟΛΕΙΟ ΜΑΡΑΝΤΟΧΩΡΙΟΥ ΛΕΥΚΑΔΑΣ</t>
  </si>
  <si>
    <t>mail@dim-marant.lef.sch.gr</t>
  </si>
  <si>
    <t>ΜΑΡΑΝΤΟΧΩΡΙ</t>
  </si>
  <si>
    <t>ΜΑΡΑΝΤΟΧΩΡΙ ΛΕΥΚΑΔΑΣ</t>
  </si>
  <si>
    <t>ΝΗΠΙΑΓΩΓΕΙΟ ΛΥΓΙΑΣ ΛΕΥΚΑΔΑΣ</t>
  </si>
  <si>
    <t>mail@nip-lygias.lef.sch.gr</t>
  </si>
  <si>
    <t>ΛΥΓΙΑΣ</t>
  </si>
  <si>
    <t>ΛΥΓΙΑ ΛΕΥΚΑΔΑΣ</t>
  </si>
  <si>
    <t>6ο ΝΗΠΙΑΓΩΓΕΙΟ ΛΕΥΚΑΔΑΣ</t>
  </si>
  <si>
    <t>mail@6nip-lefkad.lef.sch.gr</t>
  </si>
  <si>
    <t>Ι. ΚΑΠΟΔΙΣΤΡΙΟΥ 15</t>
  </si>
  <si>
    <t>1ο ΝΗΠΙΑΓΩΓΕΙΟ ΛΕΥΚΑΔΑΣ</t>
  </si>
  <si>
    <t>mail@1nip-lefkad.lef.sch.gr</t>
  </si>
  <si>
    <t>Θ. ΣΤΡΑΤΟΥ   3</t>
  </si>
  <si>
    <t>2ο  ΔΗΜΟΤΙΚΟ ΣΧΟΛΕΙΟ ΛΕΥΚΑΔΑΣ</t>
  </si>
  <si>
    <t>mail@2dim-lefkad.lef.sch.gr</t>
  </si>
  <si>
    <t>ΒΑΡΔΑΝΙΑ-ΛΕΥΚΑΔΑΣ</t>
  </si>
  <si>
    <t>1ο ΔΗΜΟΤΙΚΟ ΣΧΟΛΕΙΟ ΛΕΥΚΑΔΑΣ</t>
  </si>
  <si>
    <t>mail@1dim-lefkad.lef.sch.gr</t>
  </si>
  <si>
    <t>ΑΝΤ. ΤΖΕΒΕΛΕΚΗ  2</t>
  </si>
  <si>
    <t>4ο ΔΗΜΟΤΙΚΟ ΣΧΟΛΕΙΟ ΛΕΥΚΑΔΑΣ</t>
  </si>
  <si>
    <t>mail@4dim-lefkad.lef.sch.gr</t>
  </si>
  <si>
    <t>ΚΑΠΟΔΙΣΤΡΙΟΥ  11</t>
  </si>
  <si>
    <t>ΔΗΜΟΤΙΚΟ ΣΧΟΛΕΙΟ ΛΥΓΙΑΣ ΛΕΥΚΑΔΑΣ</t>
  </si>
  <si>
    <t>mail@dim-lygias.lef.sch.gr</t>
  </si>
  <si>
    <t>ΛΥΓΙΑ</t>
  </si>
  <si>
    <t>ΔΗΜΟΤΙΚΟ ΣΧΟΛΕΙΟ ΒΑΣΙΛΙΚΗΣ ΛΕΥΚΑΔΑΣ</t>
  </si>
  <si>
    <t>mail@dim-vasil.lef.sch.gr</t>
  </si>
  <si>
    <t xml:space="preserve">ΒΑΣΙΛΙΚΗ </t>
  </si>
  <si>
    <t>ΔΗΜΟΤΙΚΟ ΣΧΟΛΕΙΟ ΒΑΣΙΛΙΚΗΣ</t>
  </si>
  <si>
    <t>ΔΗΜΟΤΙΚΟ ΣΧΟΛΕΙΟ ΝΥΔΡΙΟΥ</t>
  </si>
  <si>
    <t>mail@dim-nydriou.lef.sch.gr</t>
  </si>
  <si>
    <t>Νυδρί Λευκάδας</t>
  </si>
  <si>
    <t>ΔΗΜΟΤΙΚΟ ΣΧΟΛΕΙΟ ΣΦΑΚΙΩΤΩΝ ΛΕΥΚΑΔΑΣ</t>
  </si>
  <si>
    <t>mail@dim-sfakiot.lef.sch.gr</t>
  </si>
  <si>
    <t>Λαζαράτα</t>
  </si>
  <si>
    <t>Λαζαράτα   Λευκάδας</t>
  </si>
  <si>
    <t>5ο ΝΗΠΙΑΓΩΓΕΙΟ ΛΕΥΚΑΔΑΣ</t>
  </si>
  <si>
    <t>mail@5nip-lefkad.lef.sch.gr</t>
  </si>
  <si>
    <t>ΑΛΥΚΕΣ ΛΕΥΚΑΔΑΣ</t>
  </si>
  <si>
    <t>3ο ΝΗΠΙΑΓΩΓΕΙΟ ΛΕΥΚΑΔΑΣ</t>
  </si>
  <si>
    <t>mail@3nip-lefkad.lef.sch.gr</t>
  </si>
  <si>
    <t>ΑΠΟΛΠΑΙΝΑ ΛΕΥΚΑΔΑΣ</t>
  </si>
  <si>
    <t>7ο ΝΗΠΙΑΓΩΓΕΙΟ ΛΕΥΚΑΔΑΣ</t>
  </si>
  <si>
    <t>mail@7nip-lefkad.lef.sch.gr</t>
  </si>
  <si>
    <t>8ο ΝΗΠΙΑΓΩΓΕΙΟ ΛΕΥΚΑΔΑΣ</t>
  </si>
  <si>
    <t>mail@8nip-lefkad.lef.sch.gr</t>
  </si>
  <si>
    <t>ΠΕΡΙΒΟΛΙΑ ΛΕΥΚΑΔΑΣ</t>
  </si>
  <si>
    <t>ΚΕΝΤΡΙΚΗΣ ΜΑΚΕΔΟΝΙΑΣ</t>
  </si>
  <si>
    <t>Π.Ε. ΑΝΑΤ. ΘΕΣ/ΝΙΚΗΣ</t>
  </si>
  <si>
    <t>20ο ΝΗΠΙΑΓΩΓΕΙΟ ΚΑΛΑΜΑΡΙΑΣ</t>
  </si>
  <si>
    <t>mail@20nip-kalam.thess.sch.gr</t>
  </si>
  <si>
    <t>ΚΑΛΑΜΑΡΙΑΣ</t>
  </si>
  <si>
    <t>ΚΑΛΑΜΑΡΙΑ</t>
  </si>
  <si>
    <t>Γ.ΓΕΝΝΗΜΑΤΑ  38</t>
  </si>
  <si>
    <t>19ο ΝΗΠΙΑΓΩΓΕΙΟ ΚΑΛΑΜΑΡΙΑΣ</t>
  </si>
  <si>
    <t>mail@19nip-kalam.thess.sch.gr</t>
  </si>
  <si>
    <t>ΑΛΙΣΤΡΑΤΗΣ ΚΑΙ Α. ΘΕΟΔΟΣΙΑΔΗ</t>
  </si>
  <si>
    <t>8ο ΝΗΠΙΑΓΩΓΕΙΟ ΚΑΛΑΜΑΡΙΑΣ</t>
  </si>
  <si>
    <t>mail@8nip-kalam.thess.sch.gr</t>
  </si>
  <si>
    <t>ΚΑΛΑΒΡΥΤΩΝ 14</t>
  </si>
  <si>
    <t>12ο ΔΗΜΟΤΙΚΟ ΣΧΟΛΕΙΟ ΚΑΛΑΜΑΡΙΑΣ</t>
  </si>
  <si>
    <t>mail@12dim-kalam.thess.sch.gr</t>
  </si>
  <si>
    <t>ΠΟΝΤΟΥ 220</t>
  </si>
  <si>
    <t>ΔΗΜΟΤΙΚΟ ΣΧΟΛΕΙΟ ΤΑΓΑΡΑΔΩΝ</t>
  </si>
  <si>
    <t>mail@dim-tagar.thess.sch.gr</t>
  </si>
  <si>
    <t>ΘΕΡΜΗΣ</t>
  </si>
  <si>
    <t>ΤΑΓΑΡΑΔΕΣ</t>
  </si>
  <si>
    <t>ΓΡΑΜΜΟΥ ΒΙΤΣΙ 40</t>
  </si>
  <si>
    <t>20ο ΔΗΜΟΤΙΚΟ ΣΧΟΛΕΙΟ ΚΑΛΑΜΑΡΙΑΣ</t>
  </si>
  <si>
    <t>mail@20dim-kalam.thess.sch.gr</t>
  </si>
  <si>
    <t>ΦΩΚΑΙΑΣ 11</t>
  </si>
  <si>
    <t>51ο ΔΗΜΟΤΙΚΟ ΣΧΟΛΕΙΟ ΘΕΣΣΑΛΟΝΙΚΗΣ</t>
  </si>
  <si>
    <t>mail@51dim-thess.thess.sch.gr</t>
  </si>
  <si>
    <t>ΘΕΣΣΑΛΟΝΙΚΗΣ</t>
  </si>
  <si>
    <t>ΘΕΣΣΑΛΟΝΙΚΗ</t>
  </si>
  <si>
    <t>ΚΑΣΣΑΝΔΡΟΥ 54</t>
  </si>
  <si>
    <t>80ο ΔΗΜΟΤΙΚΟ ΣΧΟΛΕΙΟ ΘΕΣΣΑΛΟΝΙΚΗΣ</t>
  </si>
  <si>
    <t>mail@80dim-thess.thess.sch.gr</t>
  </si>
  <si>
    <t>ΒΑΛΤΕΤΣΙΟΥ 17</t>
  </si>
  <si>
    <t>26ο ΝΗΠΙΑΓΩΓΕΙΟ ΘΕΣΣΑΛΟΝΙΚΗΣ</t>
  </si>
  <si>
    <t>mail@26nip-thess.thess.sch.gr</t>
  </si>
  <si>
    <t>ΜΑΝΟΥΣΟΓΙΑΝΝΑΚΗ 4</t>
  </si>
  <si>
    <t>1ο ΔΗΜΟΤΙΚΟ ΣΧΟΛΕΙΟ ΑΣΒΕΣΤΟΧΩΡΙΟΥ</t>
  </si>
  <si>
    <t>mail@dim-asvest.thess.sch.gr</t>
  </si>
  <si>
    <t>ΠΥΛΑΙΑΣ-ΧΟΡΤΙΑΤΗ</t>
  </si>
  <si>
    <t>ΑΣΒΕΣΤΟΧΩΡΙ</t>
  </si>
  <si>
    <t>ΗΡΩΩΝ ΠΕΣΟΝΤΩΝ 5</t>
  </si>
  <si>
    <t>28ο ΝΗΠΙΑΓΩΓΕΙΟ ΘΕΣΣΑΛΟΝΙΚΗΣ</t>
  </si>
  <si>
    <t>mail@28nip-thess.thess.sch.gr</t>
  </si>
  <si>
    <t>ΙΚΤΙΝΟΥ 5</t>
  </si>
  <si>
    <t>1ο ΔΗΜΟΤΙΚΟ ΣΧΟΛΕΙΟ ΘΕΡΜΗΣ</t>
  </si>
  <si>
    <t>mail@1dim-therm.thess.sch.gr</t>
  </si>
  <si>
    <t>ΘΕΡΜΗ</t>
  </si>
  <si>
    <t>ΜΑΚΡΥΓΙΑΝΝΗ 47</t>
  </si>
  <si>
    <t>1ο ΔΗΜΟΤΙΚΟ ΣΧΟΛΕΙΟ ΠΥΛΑΙΑΣ</t>
  </si>
  <si>
    <t>mail@1dim-pylaias.thess.sch.gr</t>
  </si>
  <si>
    <t>ΠΥΛΑΙΑ</t>
  </si>
  <si>
    <t>ΙΣΜΗΝΗΣ 6</t>
  </si>
  <si>
    <t>32ο ΝΗΠΙΑΓΩΓΕΙΟ ΘΕΣΣΑΛΟΝΙΚΗΣ</t>
  </si>
  <si>
    <t>mail@32nip-thess.thess.sch.gr</t>
  </si>
  <si>
    <t>ΣΤΕΦ. ΔΡΑΓΟΥΜΗ 7</t>
  </si>
  <si>
    <t>3ο ΔΗΜΟΤΙΚΟ ΣΧΟΛΕΙΟ ΘΕΡΜΗΣ-ΤΡΙΑΔΙΟΥ</t>
  </si>
  <si>
    <t>mail@3dim-therm.thess.sch.gr</t>
  </si>
  <si>
    <t xml:space="preserve">ΤΡΙΑΔΙ </t>
  </si>
  <si>
    <t>ΗΡΩΩΝ ΠΟΛΥΤΕΧΝΕΙΟΥ 40</t>
  </si>
  <si>
    <t>106ο ΔΗΜΟΤΙΚΟ ΣΧΟΛΕΙΟ ΘΕΣΣΑΛΟΝΙΚΗΣ</t>
  </si>
  <si>
    <t>mail@106dim-thess.thess.sch.gr</t>
  </si>
  <si>
    <t>ΑΡΓΥΡΙΟΥ ΖΑΧΟΥ 20</t>
  </si>
  <si>
    <t>90ο ΔΗΜΟΤΙΚΟ ΣΧΟΛΕΙΟ ΘΕΣΣΑΛΟΝΙΚΗΣ</t>
  </si>
  <si>
    <t>mail@90dim-thess.thess.sch.gr</t>
  </si>
  <si>
    <t>ΜΑΡΚΟΥ ΜΠΟΤΣΑΡΗ 45</t>
  </si>
  <si>
    <t>4ο ΔΗΜΟΤΙΚΟ ΣΧΟΛΕΙΟ ΘΕΣΣΑΛΟΝΙΚΗΣ</t>
  </si>
  <si>
    <t>mail@4dim-thess.thess.sch.gr</t>
  </si>
  <si>
    <t>ΔΕΛΦΩΝ 150</t>
  </si>
  <si>
    <t>2ο ΔΗΜΟΤΙΚΟ ΣΧΟΛΕΙΟ ΚΑΛΑΜΑΡΙΑΣ</t>
  </si>
  <si>
    <t>mail@2dim-kalam.thess.sch.gr</t>
  </si>
  <si>
    <t>ΠΑΠΑΓΟΥ &amp; ΚΑΛΛΙΔΟΥ</t>
  </si>
  <si>
    <t>23ο ΔΗΜΟΤΙΚΟ ΣΧΟΛΕΙΟ ΚΑΛΑΜΑΡΙΑΣ</t>
  </si>
  <si>
    <t>mail@23dim-kalam.thess.sch.gr</t>
  </si>
  <si>
    <t>ΘΕΡΜΑΙΚΟΥ &amp; Κ. ΠΑΛΑΜΑ</t>
  </si>
  <si>
    <t>61ο ΔΗΜΟΤΙΚΟ ΣΧΟΛΕΙΟ ΘΕΣΣΑΛΟΝΙΚΗΣ</t>
  </si>
  <si>
    <t>mail@61dim-thess.thess.sch.gr</t>
  </si>
  <si>
    <t>ΑΡΧΑΙΟΤΗΤΩΝ 3</t>
  </si>
  <si>
    <t>2ο ΝΗΠΙΑΓΩΓΕΙΟ ΠΑΝΟΡΑΜΑΤΟΣ</t>
  </si>
  <si>
    <t>mail@2nip-panor.thess.sch.gr</t>
  </si>
  <si>
    <t>ΠΑΝΟΡΑΜΑ</t>
  </si>
  <si>
    <t>ΠΑΛΑΙΟΛΟΓΟΥ &amp; ΠΕΡΔΙΚΑ</t>
  </si>
  <si>
    <t>11ο ΔΗΜΟΤΙΚΟ ΣΧΟΛΕΙΟ ΚΑΛΑΜΑΡΙΑΣ - ΑΓΙΟΣ ΠΑΝΤΕΛΕΗΜΟΝΑΣ</t>
  </si>
  <si>
    <t>mail@11dim-kalam.thess.sch.gr</t>
  </si>
  <si>
    <t>ΦΙΛΕΛΛΗΝΩΝ 9</t>
  </si>
  <si>
    <t>83ο ΔΗΜΟΤΙΚΟ ΣΧΟΛΕΙΟ ΘΕΣΣΑΛΟΝΙΚΗΣ</t>
  </si>
  <si>
    <t>mail@83dim-thess.thess.sch.gr</t>
  </si>
  <si>
    <t>Π. ΚΑΡΟΛΙΔΗ 10</t>
  </si>
  <si>
    <t>36ο ΔΗΜΟΤΙΚΟ ΣΧΟΛΕΙΟ ΘΕΣΣΑΛΟΝΙΚΗΣ- ΜΙΛΤΟΣ ΚΟΥΝΤΟΥΡΑΣ</t>
  </si>
  <si>
    <t>mail@36dim-thess.thess.sch.gr</t>
  </si>
  <si>
    <t>ΑΓΙΑΣ ΣΟΦΙΑΣ 66</t>
  </si>
  <si>
    <t>79ο ΔΗΜΟΤΙΚΟ ΣΧΟΛΕΙΟ ΘΕΣΣΑΛΟΝΙΚΗΣ</t>
  </si>
  <si>
    <t>79dimthe@sch.gr</t>
  </si>
  <si>
    <t>Ν.ΠΛΑΣΤΗΡΑ 8 &amp; Ν.ΚΑΡΑΘΕΟΔΩΡΉ 6</t>
  </si>
  <si>
    <t>67ο ΔΗΜΟΤΙΚΟ ΣΧΟΛΕΙΟ ΘΕΣΣΑΛΟΝΙΚΗΣ</t>
  </si>
  <si>
    <t>mail@67dim-thess.thess.sch.gr</t>
  </si>
  <si>
    <t>Δ. ΠΑΠΑΘΑΝΑΣΙΟΥ 41</t>
  </si>
  <si>
    <t>13ο ΔΗΜΟΤΙΚΟ ΣΧΟΛΕΙΟ ΚΑΛΑΜΑΡΙΑΣ</t>
  </si>
  <si>
    <t>mail@13dim-kalam.thess.sch.gr</t>
  </si>
  <si>
    <t>ΜΑΚΡΟΧΩΡΙΟΥ 1 ΠΛ. ΣΚΡΑ</t>
  </si>
  <si>
    <t>7ο ΔΗΜΟΤΙΚΟ ΣΧΟΛΕΙΟ ΚΑΛΑΜΑΡΙΑΣ</t>
  </si>
  <si>
    <t>mail@7dim-kalam.thess.sch.gr</t>
  </si>
  <si>
    <t>ΖΗΡΓΑΝΟΥ-ΕΡΥΘΡΟΥ ΣΤΑΥΡΟΥ</t>
  </si>
  <si>
    <t>1ο ΔΗΜΟΤΙΚΟ ΣΧΟΛΕΙΟ ΚΑΛΑΜΑΡΙΑΣ</t>
  </si>
  <si>
    <t>mail@1dim-kalam.thess.sch.gr</t>
  </si>
  <si>
    <t>Τ.ΟΙΚΟΝΟΜΙΔΗ 52</t>
  </si>
  <si>
    <t>35ο ΝΗΠΙΑΓΩΓΕΙΟ ΘΕΣΣΑΛΟΝΙΚΗΣ</t>
  </si>
  <si>
    <t>mail@35nip-thess.thess.sch.gr</t>
  </si>
  <si>
    <t>Κ. ΚΡΥΣΤΑΛΛΗ 10</t>
  </si>
  <si>
    <t>17ο ΔΗΜΟΤΙΚΟ ΣΧΟΛΕΙΟ ΚΑΛΑΜΑΡΙΑΣ</t>
  </si>
  <si>
    <t>mail@17dim-kalam.thess.sch.gr</t>
  </si>
  <si>
    <t>ΑΝ. ΘΡΑΚΗΣ 10</t>
  </si>
  <si>
    <t>1ο ΔΗΜΟΤΙΚΟ ΣΧΟΛΕΙΟ ΠΕΡΑΙΑΣ</t>
  </si>
  <si>
    <t>mail@1dim-peraias.thess.sch.gr</t>
  </si>
  <si>
    <t>ΘΕΡΜΑΪΚΟΥ</t>
  </si>
  <si>
    <t>ΠΕΡΑΙΑ</t>
  </si>
  <si>
    <t>ΑΜΠΕΛΟΚΗΠΩΝ 56</t>
  </si>
  <si>
    <t>55ο ΔΗΜΟΤΙΚΟ ΣΧΟΛΕΙΟ ΘΕΣΣΑΛΟΝΙΚΗΣ</t>
  </si>
  <si>
    <t>mail@55dim-thess.thess.sch.gr</t>
  </si>
  <si>
    <t>63ο ΔΗΜΟΤΙΚΟ ΣΧΟΛΕΙΟ ΘΕΣΣΑΛΟΝΙΚΗΣ</t>
  </si>
  <si>
    <t>mail@63dim-thess.thess.sch.gr</t>
  </si>
  <si>
    <t>ΣΕΛΙΤΣΗΣ 2 ΕΝΑΝΤΙ Ν. Σ. ΣΤΑΘΜΟΥ</t>
  </si>
  <si>
    <t>2ο ΝΗΠΙΑΓΩΓΕΙΟ ΠΥΛΑΙΑΣ</t>
  </si>
  <si>
    <t>mail@2nip-pylaias.thess.sch.gr</t>
  </si>
  <si>
    <t>ΒΕΡΓΙΝΑΣ 15</t>
  </si>
  <si>
    <t>37ο ΝΗΠΙΑΓΩΓΕΙΟ ΘΕΣΣΑΛΟΝΙΚΗΣ</t>
  </si>
  <si>
    <t>mail@37nip-thess.thess.sch.gr</t>
  </si>
  <si>
    <t>ΚΟΛΩΝΙΑΡΗ &amp; ΔΡΑΓΟΥΜΑΝΟΥ 13</t>
  </si>
  <si>
    <t>38ο ΝΗΠΙΑΓΩΓΕΙΟ ΘΕΣΣΑΛΟΝΙΚΗΣ</t>
  </si>
  <si>
    <t>mail@38nip-thess.thess.sch.gr</t>
  </si>
  <si>
    <t>ΜΟΝΑΣΤΗΡΙΟΥ ΕΝΑΝΤΙ Ν.Σ.ΣΤΑΘΜΟΥ</t>
  </si>
  <si>
    <t>8ο ΔΗΜΟΤΙΚΟ ΣΧΟΛΕΙΟ ΚΑΛΑΜΑΡΙΑΣ</t>
  </si>
  <si>
    <t>mail@8dim-kalam.thess.sch.gr</t>
  </si>
  <si>
    <t>ΜΟΥΣΩΝ 1</t>
  </si>
  <si>
    <t>1ο ΝΗΠΙΑΓΩΓΕΙΟ ΠΥΛΑΙΑΣ</t>
  </si>
  <si>
    <t>mail@1nip-pylaias.thess.sch.gr</t>
  </si>
  <si>
    <t>ΗΛΕΚΤΡΑΣ 2</t>
  </si>
  <si>
    <t>66ο ΔΗΜΟΤΙΚΟ ΣΧΟΛΕΙΟ ΘΕΣΣΑΛΟΝΙΚΗΣ</t>
  </si>
  <si>
    <t>mail@66dim-thess.thess.sch.gr</t>
  </si>
  <si>
    <t>ΚΑΠΑΤΟΥ  8</t>
  </si>
  <si>
    <t>10ο ΔΗΜΟΤΙΚΟ ΣΧΟΛΕΙΟ ΚΑΛΑΜΑΡΙΑΣ</t>
  </si>
  <si>
    <t>mail@10dim-kalam.thess.sch.gr</t>
  </si>
  <si>
    <t>ΒΡΥΟΥΛΩΝ 51</t>
  </si>
  <si>
    <t>1ο ΝΗΠΙΑΓΩΓΕΙΟ ΝΕΑΣ ΡΑΙΔΕΣΤΟΥ</t>
  </si>
  <si>
    <t>mail@1nip-n-radaist.thess.sch.gr</t>
  </si>
  <si>
    <t>ΝΕΑ ΡΑΙΔΕΣΤΟΣ</t>
  </si>
  <si>
    <t>ΑΡΙΣΤΟΤΕΛΟΥΣ 9</t>
  </si>
  <si>
    <t>47ο ΝΗΠΙAΓΩΓΕΙΟ ΘΕΣΣΑΛΟΝΙΚΗΣ</t>
  </si>
  <si>
    <t>mail@47nip-thess.thess.sch.gr</t>
  </si>
  <si>
    <t>ΚΑΠΕΤΑΝ ΑΓΡΑ 49</t>
  </si>
  <si>
    <t>101ο ΔΗΜΟΤΙΚΟ ΣΧΟΛΕΙΟ ΘΕΣΣΑΛΟΝΙΚΗΣ</t>
  </si>
  <si>
    <t>mail@101dim-thess.thess.sch.gr</t>
  </si>
  <si>
    <t>ΑΜΜΟΧΩΣΤΟΥ 2</t>
  </si>
  <si>
    <t>49ο ΝΗΠΙΑΓΩΓΕΙΟ ΘΕΣΣΑΛΟΝΙΚΗΣ</t>
  </si>
  <si>
    <t>mail@49nip-thess.thess.sch.gr</t>
  </si>
  <si>
    <t>14ο ΝΗΠΙΑΓΩΓΕΙΟ ΚΑΛΑΜΑΡΙΑΣ</t>
  </si>
  <si>
    <t>mail@14nip-kalam.thess.sch.gr</t>
  </si>
  <si>
    <t>ΙΣΜΗΝΗΣ 7</t>
  </si>
  <si>
    <t>4ο ΔΗΜΟΤΙΚΟ ΣΧΟΛΕΙΟ ΘΕΡΜΗΣ</t>
  </si>
  <si>
    <t>mail@4dim-therm.thess.sch.gr</t>
  </si>
  <si>
    <t>ΘΕΣΗ ΑΠΟΘΗΚΕΣ  Τ.Θ. Δ 1091</t>
  </si>
  <si>
    <t>53ο ΝΗΠΙΑΓΩΓΕΙΟ ΘΕΣΣΑΛΟΝΙΚΗΣ</t>
  </si>
  <si>
    <t>mail@53nip-thess.thess.sch.gr</t>
  </si>
  <si>
    <t>ΕΓΝΑΤΙΑΣ 129</t>
  </si>
  <si>
    <t>11ο ΔΗΜΟΤΙΚΟ ΣΧΟΛΕΙΟ ΘΕΣΣΑΛΟΝΙΚΗΣ</t>
  </si>
  <si>
    <t>mail@11dim-thess.thess.sch.gr</t>
  </si>
  <si>
    <t>ΑΜΑΛΙΑΣ 60-62</t>
  </si>
  <si>
    <t>9ο ΔΗΜΟΤΙΚΟ ΣΧΟΛΕΙΟ ΘΕΣΣΑΛΟΝΙΚΗΣ</t>
  </si>
  <si>
    <t>mail@9dim-thess.thess.sch.gr</t>
  </si>
  <si>
    <t>ΔΕΛΦΩΝ 35</t>
  </si>
  <si>
    <t>5ο ΝΗΠΙΑΓΩΓΕΙΟ ΘΕΡΜΗΣ</t>
  </si>
  <si>
    <t>mail@5nip-therm.thess.sch.gr</t>
  </si>
  <si>
    <t>ΘΕΣΗ ΑΠΟΘΗΚΕΣ Τ.Θ. Δ 1091</t>
  </si>
  <si>
    <t>33ο ΔΗΜΟΤΙΚΟ ΣΧΟΛΕΙΟ ΘΕΣΣΑΛΟΝΙΚΗΣ - ΑΣΥΛΟ ΤΟΥ ΠΑΙΔΙΟΥ</t>
  </si>
  <si>
    <t>mail@33dim-thess.thess.sch.gr</t>
  </si>
  <si>
    <t>ΣΤΕΛΙΟΥ ΚΑΖΑΝΤΖΙΔΗ 62 - 64</t>
  </si>
  <si>
    <t>1ο ΝΗΠΙΑΓΩΓΕΙΟ ΚΑΡΔΙΑΣ</t>
  </si>
  <si>
    <t>mail@nip-kardias.thess.sch.gr</t>
  </si>
  <si>
    <t>ΚΑΡΔΙΑ</t>
  </si>
  <si>
    <t>ΠΟΣΕΙΔΩΝΟΣ 4</t>
  </si>
  <si>
    <t>54ο ΝΗΠΙΑΓΩΓΕΙΟ ΘΕΣΣΑΛΟΝΙΚΗΣ</t>
  </si>
  <si>
    <t>mail@54nip-thess.thess.sch.gr</t>
  </si>
  <si>
    <t>ΕΛΕΥΘΕΡΩΝ 14</t>
  </si>
  <si>
    <t>3ο ΝΗΠΙΑΓΩΓΕΙΟ ΕΠΑΝΟΜΗΣ</t>
  </si>
  <si>
    <t>mail@3nip-epanom.thess.sch.gr</t>
  </si>
  <si>
    <t>ΕΠΑΝΟΜΗ</t>
  </si>
  <si>
    <t>ΕΝΑΝΤΙ ΑΓΙΟΥ ΣΠΥΡΙΔΩΝΑ</t>
  </si>
  <si>
    <t>105ο ΔΗΜΟΤΙΚΟ ΣΧΟΛΕΙΟ ΘΕΣΣΑΛΟΝΙΚΗΣ</t>
  </si>
  <si>
    <t>105dimthe@sch.gr</t>
  </si>
  <si>
    <t>ΑΛ. ΣΠΑΝΟΥ 4</t>
  </si>
  <si>
    <t>3ο ΝΗΠΙΑΓΩΓΕΙΟ ΘΕΡΜΗΣ</t>
  </si>
  <si>
    <t>mail@3nip-therm.thess.sch.gr</t>
  </si>
  <si>
    <t>ΚΑΠΕΤΑΝ ΧΑΨΑ 6</t>
  </si>
  <si>
    <t>37ο ΔΗΜΟΤΙΚΟ ΣΧΟΛΕΙΟ ΘΕΣΣΑΛΟΝΙΚΗΣ</t>
  </si>
  <si>
    <t>mail@37dim-thess.thess.sch.gr</t>
  </si>
  <si>
    <t>ΟΛΥΜΠΟΥ 101</t>
  </si>
  <si>
    <t>59ο ΔΗΜΟΤΙΚΟ ΣΧΟΛΕΙΟ ΘΕΣΣΑΛΟΝΙΚΗΣ</t>
  </si>
  <si>
    <t>mail@59dim-thess.thess.sch.gr</t>
  </si>
  <si>
    <t>ΔΗΜΟΤΙΚΟ ΣΧΟΛΕΙΟ ΚΑΡΔΙΑΣ</t>
  </si>
  <si>
    <t>mail@dim-kardias.thess.sch.gr</t>
  </si>
  <si>
    <t>ΒΥΖΑΝΤΙΟΥ 2</t>
  </si>
  <si>
    <t>15ο ΔΗΜΟΤΙΚΟ ΣΧΟΛΕΙΟ ΘΕΣΣΑΛΟΝΙΚΗΣ</t>
  </si>
  <si>
    <t>mail@15dim-thess.thess.sch.gr</t>
  </si>
  <si>
    <t>ΜΑΝΘΟΥ ΜΑΤΘΑΙΟΥ 4</t>
  </si>
  <si>
    <t>1ο ΝΗΠΙΑΓΩΓΕΙΟ ΘΕΡΜΗΣ</t>
  </si>
  <si>
    <t>mail@1nip-therm.thess.sch.gr</t>
  </si>
  <si>
    <t>ΔΗΜΟΚΡΑΤΙΑΣ 3</t>
  </si>
  <si>
    <t>4ο ΔΗΜΟΤΙΚΟ ΣΧΟΛΕΙΟ ΚΑΛΑΜΑΡΙΑΣ</t>
  </si>
  <si>
    <t>mail@4dim-kalam.thess.sch.gr</t>
  </si>
  <si>
    <t>Μ.ΚΑΛΛΙΔΟΥ-ΠΑΠΑΓΟΥ</t>
  </si>
  <si>
    <t>1ο ΝΗΠΙΑΓΩΓΕΙΟ ΑΣΒΕΣΤΟΧΩΡΙΟΥ</t>
  </si>
  <si>
    <t>mail@1nip-asvest.thess.sch.gr</t>
  </si>
  <si>
    <t>ΠΕΣΟΝΤΩΝ ΗΡΩΩΝ 5</t>
  </si>
  <si>
    <t>54ο ΔΗΜΟΤΙΚΟ ΣΧΟΛΕΙΟ ΘΕΣΣΑΛΟΝΙΚΗΣ</t>
  </si>
  <si>
    <t>mail@54dim-thess.thess.sch.gr</t>
  </si>
  <si>
    <t>ΣΤ.ΔΡΑΓΟΥΜΗ  7-9</t>
  </si>
  <si>
    <t>77ο ΔΗΜΟΤΙΚΟ ΣΧΟΛΕΙΟ ΘΕΣΣΑΛΟΝΙΚΗΣ</t>
  </si>
  <si>
    <t>mail@77dim-thess.thess.sch.gr</t>
  </si>
  <si>
    <t>ΚΑΒΕΙΡΩΝ 6</t>
  </si>
  <si>
    <t>4ο ΝΗΠΙΑΓΩΓΕΙΟ ΠΥΛΑΙΑΣ</t>
  </si>
  <si>
    <t>mail@4nip-pylaias.thess.sch.gr</t>
  </si>
  <si>
    <t>ΠΕΡΡΑΙΒΟΥ 1</t>
  </si>
  <si>
    <t>1ο ΝΗΠΙΑΓΩΓΕΙΟ ΤΡΙΑΝΔΡΙΑΣ ΘΕΣΣΑΛΟΝΙΚΗΣ</t>
  </si>
  <si>
    <t>mail@1nip-triandr.thess.sch.gr</t>
  </si>
  <si>
    <t>ΤΡΙΑΝΔΡΙΑ</t>
  </si>
  <si>
    <t>ΑΓΙΟΥ ΣΠΥΡΙΔΩΝΟΣ 2</t>
  </si>
  <si>
    <t>19ο ΝΗΠΙΑΓΩΓΕΙΟ ΘΕΣΣΑΛΟΝΙΚΗΣ</t>
  </si>
  <si>
    <t>mail@19nip-thess.thess.sch.gr</t>
  </si>
  <si>
    <t>ΜΗΤΣΑΚΗ 1</t>
  </si>
  <si>
    <t>1ο ΝΗΠΙΑΓΩΓΕΙΟ ΠΑΝΟΡΑΜΑΤΟΣ</t>
  </si>
  <si>
    <t>mail@1nip-panor.thess.sch.gr</t>
  </si>
  <si>
    <t>ΒΕΝΙΖΕΛΟΥ ΤΕΡΜΑ</t>
  </si>
  <si>
    <t>20ο ΝΗΠΙΑΓΩΓΕΙΟ ΘΕΣΣΑΛΟΝΙΚΗΣ</t>
  </si>
  <si>
    <t>mail@20nip-thess.thess.sch.gr</t>
  </si>
  <si>
    <t>ΠΕΣΤΩΝ 55-63</t>
  </si>
  <si>
    <t>21ο ΝΗΠΙΑΓΩΓΕΙΟ ΘΕΣΣΑΛΟΝΙΚΗΣ</t>
  </si>
  <si>
    <t>mail@21nip-thess.thess.sch.gr</t>
  </si>
  <si>
    <t>ΠΕΡΔΙΚΑ 8</t>
  </si>
  <si>
    <t>22ο ΝΗΠΙΑΓΩΓΕΙΟ ΘΕΣΣΑΛΟΝΙΚΗΣ</t>
  </si>
  <si>
    <t>mail@22nip-thess.thess.sch.gr</t>
  </si>
  <si>
    <t>ΣΙΦΝΟΥ 9</t>
  </si>
  <si>
    <t>23ο ΝΗΠΙΑΓΩΓΕΙΟ ΘΕΣΣΑΛΟΝΙΚΗΣ</t>
  </si>
  <si>
    <t>mail@23nip-thess.thess.sch.gr</t>
  </si>
  <si>
    <t>43ο ΝΗΠΙΑΓΩΓΕΙΟ ΘΕΣΣΑΛΟΝΙΚΗΣ</t>
  </si>
  <si>
    <t>mail@43nip-thess.thess.sch.gr</t>
  </si>
  <si>
    <t>ΤΕΡΜΑ ΔΙΔΑΣΚΑΛΟΥ ΑΔΑΜΙΔΗ</t>
  </si>
  <si>
    <t>3ο ΔΗΜΟΤΙΚΟ ΣΧΟΛΕΙΟ ΚΑΛΑΜΑΡΙΑΣ</t>
  </si>
  <si>
    <t>mail@3dim-kalam.thess.sch.gr</t>
  </si>
  <si>
    <t>ΚΟΛΟΤΟΥΡΟΥ 10</t>
  </si>
  <si>
    <t>55ο ΝΗΠΙΑΓΩΓΕΙΟ ΘΕΣΣΑΛΟΝΙΚΗΣ</t>
  </si>
  <si>
    <t>mail@55nip-thess.thess.sch.gr</t>
  </si>
  <si>
    <t>ΙΠΠΟΔΡΟΜΙΟΥ 88</t>
  </si>
  <si>
    <t>56ο ΝΗΠΙΑΓΩΓΕΙΟ ΘΕΣΣΑΛΟΝΙΚΗΣ - ΤΕΝΕΚΕΔΕΝΙΟ</t>
  </si>
  <si>
    <t>mail@56nip-thess.thess.sch.gr</t>
  </si>
  <si>
    <t>ΠΥΛΑΙΑΣ 1</t>
  </si>
  <si>
    <t>2ο ΔΗΜΟΤΙΚΟ ΣΧΟΛΕΙΟ ΠΑΝΟΡΑΜΑΤΟΣ</t>
  </si>
  <si>
    <t>mail@2dim-panor.thess.sch.gr</t>
  </si>
  <si>
    <t>ΠΑΛΑΙΟΛΟΓΟΥ 11</t>
  </si>
  <si>
    <t>77ο ΝΗΠΙΑΓΩΓΕΙΟ ΘΕΣΣΑΛΟΝΙΚΗΣ</t>
  </si>
  <si>
    <t>mail@77nip-thess.thess.sch.gr</t>
  </si>
  <si>
    <t>ΒΟΣΠΟΡΟΥ 66</t>
  </si>
  <si>
    <t>81ο ΝΗΠΙΑΓΩΓΕΙΟ ΘΕΣΣΑΛΟΝΙΚΗΣ</t>
  </si>
  <si>
    <t>mail@81nip-thess.thess.sch.gr</t>
  </si>
  <si>
    <t>ΠΟΝΤΟΥ 40</t>
  </si>
  <si>
    <t>6ο ΔΗΜΟΤΙΚΟ ΣΧΟΛΕΙΟ ΚΑΛΑΜΑΡΙΑΣ</t>
  </si>
  <si>
    <t>mail@6dim-kalam.thess.sch.gr</t>
  </si>
  <si>
    <t>ΣΜΥΡΝΗΣ 51</t>
  </si>
  <si>
    <t>88ο ΔΗΜΟΤΙΚΟ ΣΧΟΛΕΙΟ ΘΕΣΣΑΛΟΝΙΚΗΣ</t>
  </si>
  <si>
    <t>mail@88dim-thess.thess.sch.gr</t>
  </si>
  <si>
    <t>ΖΑΜΠΕΛΙΟΥ 2-4</t>
  </si>
  <si>
    <t>9ο ΔΗΜΟΤΙΚΟ ΣΧΟΛΕΙΟ ΚΑΛΑΜΑΡΙΑΣ</t>
  </si>
  <si>
    <t>mail@9dim-kalam.thess.sch.gr</t>
  </si>
  <si>
    <t>ΝΥΜΦΩΝ 1</t>
  </si>
  <si>
    <t>60ο ΝΗΠΙΑΓΩΓΕΙΟ ΘΕΣΣΑΛΟΝΙΚΗΣ</t>
  </si>
  <si>
    <t>mail@60nip-thess.thess.sch.gr</t>
  </si>
  <si>
    <t>ΠΛΑΤΕΙΑ ΑΓ. ΑΝΑΡΓΥΡΩΝ 4</t>
  </si>
  <si>
    <t>61ο ΝΗΠΙΑΓΩΓΕΙΟ ΘΕΣΣΑΛΟΝΙΚΗΣ</t>
  </si>
  <si>
    <t>mail@61nip-thess.thess.sch.gr</t>
  </si>
  <si>
    <t>ΟΛΥΜΠΙΑΔΟΣ 94</t>
  </si>
  <si>
    <t>30ο ΔΗΜΟΤΙΚΟ ΣΧΟΛΕΙΟ ΘΕΣΣΑΛΟΝΙΚΗΣ</t>
  </si>
  <si>
    <t>mail@30dim-thess.thess.sch.gr</t>
  </si>
  <si>
    <t>ΙΩΑΝΝΙΝΩΝ 20</t>
  </si>
  <si>
    <t>64ο ΝΗΠΙΑΓΩΓΕΙΟ ΘΕΣΣΑΛΟΝΙΚΗΣ</t>
  </si>
  <si>
    <t>mail@64nip-thess.thess.sch.gr</t>
  </si>
  <si>
    <t>90ο ΝΗΠΙΑΓΩΓΕΙΟ ΘΕΣΣΑΛΟΝΙΚΗΣ</t>
  </si>
  <si>
    <t>mail@90nip-thess.thess.sch.gr</t>
  </si>
  <si>
    <t>Ν. ΚΑΠΑΤΟΥ  8</t>
  </si>
  <si>
    <t>6ο ΝΗΠΙΑΓΩΓΕΙΟ ΚΑΛΑΜΑΡΙΑΣ</t>
  </si>
  <si>
    <t>mail@6nip-kalam.thess.sch.gr</t>
  </si>
  <si>
    <t>ΦΙΛΙΠΠΟΥ 2</t>
  </si>
  <si>
    <t>2ο ΔΗΜΟΤΙΚΟ ΣΧΟΛΕΙΟ ΘΕΡΜΗΣ</t>
  </si>
  <si>
    <t>mail@2dim-therm.thess.sch.gr</t>
  </si>
  <si>
    <t>ΜΑΝΔΡΙΤΣΑ 2</t>
  </si>
  <si>
    <t>3ο ΔΗΜΟΤΙΚΟ ΣΧΟΛΕΙΟ ΕΠΑΝΟΜΗΣ</t>
  </si>
  <si>
    <t>mail@3dim-epanom.thess.sch.gr</t>
  </si>
  <si>
    <t>25ης  ΜΑΡΤΙΟΥ 70</t>
  </si>
  <si>
    <t>2ο ΝΗΠΙΑΓΩΓΕΙΟ ΑΣΒΕΣΤΟΧΩΡΙΟΥ</t>
  </si>
  <si>
    <t>mail@2nip-asvest.thess.sch.gr</t>
  </si>
  <si>
    <t>ΔΗΜΟΚΡΑΤΙΑΣ 11</t>
  </si>
  <si>
    <t>10ο ΝΗΠΙΑΓΩΓΕΙΟ ΚΑΛΑΜΑΡΙΑΣ</t>
  </si>
  <si>
    <t>mail@10nip-kalam.thess.sch.gr</t>
  </si>
  <si>
    <t>ΙΩΑΚΕΙΜ Γ 46</t>
  </si>
  <si>
    <t>8ο ΔΗΜΟΤΙΚΟ ΣΧΟΛΕΙΟ ΘΕΣΣΑΛΟΝΙΚΗΣ</t>
  </si>
  <si>
    <t>mail@8dim-thess.thess.sch.gr</t>
  </si>
  <si>
    <t>Θεσσαλονίκη</t>
  </si>
  <si>
    <t>Ορέστου 30</t>
  </si>
  <si>
    <t>26ο ΝΗΠΙΑΓΩΓΕΙΟ ΚΑΛΑΜΑΡΙΑΣ</t>
  </si>
  <si>
    <t>mail@26nip-kalam.thess.sch.gr</t>
  </si>
  <si>
    <t>ΚΟΛΟΤΟΥΡΟΥ 20</t>
  </si>
  <si>
    <t>3ο ΝΗΠΙΑΓΩΓΕΙΟ ΚΑΛΑΜΑΡΙΑΣ</t>
  </si>
  <si>
    <t>mail@3nip-kalam.thess.sch.gr</t>
  </si>
  <si>
    <t>ΦΙΛΙΚΗΣ ΕΤΑΙΡΕΙΑΣ 45</t>
  </si>
  <si>
    <t>19ο ΔΗΜΟΤΙΚΟ ΣΧΟΛΕΙΟ ΘΕΣΣΑΛΟΝΙΚΗΣ</t>
  </si>
  <si>
    <t>mail@19dim-thess.thess.sch.gr</t>
  </si>
  <si>
    <t>31ο ΔΗΜΟΤΙΚΟ ΣΧΟΛΕΙΟ ΘΕΣΣΑΛΟΝΙΚΗΣ</t>
  </si>
  <si>
    <t>mail@31dim-thess.thess.sch.gr</t>
  </si>
  <si>
    <t>4ο ΝΗΠΙΑΓΩΓΕΙΟ ΘΕΡΜΗΣ</t>
  </si>
  <si>
    <t>mail@4nip-therm.thess.sch.gr</t>
  </si>
  <si>
    <t>ΜΑΝΔΡΙΤΣΑ 4</t>
  </si>
  <si>
    <t>ΔΗΜΟΤΙΚΟ ΣΧΟΛΕΙΟ ΕΞΟΧΗΣ (ΠΥΛΑΙΑΣ-ΧΟΡΤΙΑΤΗ)</t>
  </si>
  <si>
    <t>dimexoxi@sch.gr</t>
  </si>
  <si>
    <t>ΕΞΟΧΗ</t>
  </si>
  <si>
    <t>ΑΓΙΟΥ ΣΤΕΦΑΝΟΥ 24</t>
  </si>
  <si>
    <t>45ο ΔΗΜΟΤΙΚΟ ΣΧΟΛΕΙΟ ΘΕΣΣΑΛΟΝΙΚΗΣ</t>
  </si>
  <si>
    <t>mail@45dim-thess.thess.sch.gr</t>
  </si>
  <si>
    <t>2ο ΝΗΠΙΑΓΩΓΕΙΟ ΝΕΑΣ ΜΗΧΑΝΙΩΝΑΣ</t>
  </si>
  <si>
    <t>mail@2nip-n-michan.thess.sch.gr</t>
  </si>
  <si>
    <t>ΝΕΑ ΜΗΧΑΝΙΩΝΑ</t>
  </si>
  <si>
    <t>ΑΘ. ΔΙΑΚΟΥ 9</t>
  </si>
  <si>
    <t>18ο ΔΗΜΟΤΙΚΟ ΣΧΟΛΕΙΟ ΚΑΛΑΜΑΡΙΑΣ</t>
  </si>
  <si>
    <t>mail@18dim-kalam.thess.sch.gr</t>
  </si>
  <si>
    <t>ΣΤΡΑΤΗΓΟΥ ΣΑΡΑΦΗ 32</t>
  </si>
  <si>
    <t>ΔΗΜΟΤΙΚΟ ΣΧΟΛΕΙΟ ΧΟΡΤΙΑΤΗ</t>
  </si>
  <si>
    <t>mail@dim-chort.thess.sch.gr</t>
  </si>
  <si>
    <t>ΧΟΡΤΙΑΤΗΣ</t>
  </si>
  <si>
    <t>ΠΡΟΕΚΤΑΣΗ ΑΓΙΟΥ ΒΑΣΙΛΕΙΟΥ</t>
  </si>
  <si>
    <t>2ο ΝΗΠΙΑΓΩΓΕΙΟ ΦΙΛΥΡΟΥ</t>
  </si>
  <si>
    <t>mail@2nip-filyr.thess.sch.gr</t>
  </si>
  <si>
    <t>ΦΙΛΥΡΟ</t>
  </si>
  <si>
    <t>ΜΕΓΑΛΟΥ ΑΛΕΞΑΝΔΡΟΥ 15</t>
  </si>
  <si>
    <t>69ο ΔΗΜΟΤΙΚΟ ΣΧΟΛΕΙΟ ΘΕΣΣΑΛΟΝΙΚΗΣ</t>
  </si>
  <si>
    <t>mail@69dim-thess.thess.sch.gr</t>
  </si>
  <si>
    <t>ΖΑΦΕΙΡΗ ΠΑΠΑΖΑΦΕΙΡΙΟΥ 4</t>
  </si>
  <si>
    <t>92ο ΔΗΜΟΤΙΚΟ ΣΧΟΛΕΙΟ ΘΕΣΣΑΛΟΝΙΚΗΣ</t>
  </si>
  <si>
    <t>mail@92dim-thess.thess.sch.gr</t>
  </si>
  <si>
    <t>ΠΑΠΑΦΗ 229</t>
  </si>
  <si>
    <t>92ο ΝΗΠΙΑΓΩΓΕΙΟ ΘΕΣΣΑΛΟΝΙΚΗΣ</t>
  </si>
  <si>
    <t>mail@92nip-thess.thess.sch.gr</t>
  </si>
  <si>
    <t>ΤΥΔΕΩΣ 26</t>
  </si>
  <si>
    <t>3ο ΝΗΠΙΑΓΩΓΕΙΟ ΝΕΑΣ ΜΗΧΑΝΙΩΝΑΣ</t>
  </si>
  <si>
    <t>mail@3nip-n-michan.thess.sch.gr</t>
  </si>
  <si>
    <t>ΠΑΡΟΔΟΣ Κ. ΒΑΡΝΑΛΗ</t>
  </si>
  <si>
    <t>97ο ΝΗΠΙΑΓΩΓΕΙΟ ΘΕΣΣΑΛΟΝΙΚΗΣ</t>
  </si>
  <si>
    <t>mail@97nip-thess.thess.sch.gr</t>
  </si>
  <si>
    <t>5ο ΔΗΜΟΤΙΚΟ ΣΧΟΛΕΙΟ ΚΑΛΑΜΑΡΙΑΣ</t>
  </si>
  <si>
    <t>mail@5dim-kalam.thess.sch.gr</t>
  </si>
  <si>
    <t>ΑΔΡΑΜΥΤΙΟΥ 2</t>
  </si>
  <si>
    <t>112ο ΝΗΠΙΑΓΩΓΕΙΟ ΘΕΣΣΑΛΟΝΙΚΗΣ</t>
  </si>
  <si>
    <t>mail@112nip-thess.thess.sch.gr</t>
  </si>
  <si>
    <t>ΤΡΙΑΝΤΑΦΥΛΛΟΠΟΥΛΟΥ 18</t>
  </si>
  <si>
    <t>113ο ΝΗΠΙΑΓΩΓΕΙΟ ΘΕΣΣΑΛΟΝΙΚΗΣ</t>
  </si>
  <si>
    <t>mail@113nip-thess.thess.sch.gr</t>
  </si>
  <si>
    <t>7ο ΝΗΠΙΑΓΩΓΕΙΟ ΚΑΛΑΜΑΡΙΑΣ</t>
  </si>
  <si>
    <t>mail@7nip-kalam.thess.sch.gr</t>
  </si>
  <si>
    <t>4ο ΝΗΠΙΑΓΩΓΕΙΟ ΝΕΑΣ ΜΗΧΑΝΙΩΝΑΣ</t>
  </si>
  <si>
    <t>mail@4nip-n-michan.thess.sch.gr</t>
  </si>
  <si>
    <t>ΝΕΑΣ ΜΗΧΑΝΙΩΝΑ</t>
  </si>
  <si>
    <t>ΑΡΤΑΚΗΣ-ΜΑΝΟΥ ΛΟΙΖΟΥ, ΟΙΚΙΣΜΟΣ ΧΑΒΑΗ</t>
  </si>
  <si>
    <t>2ο ΔΗΜΟΤΙΚΟ ΣΧΟΛΕΙΟ ΠΥΛΑΙΑΣ</t>
  </si>
  <si>
    <t>mail@2dim-pylaias.thess.sch.gr</t>
  </si>
  <si>
    <t>Μ. ΑΛΕΞΑΝΔΡΟΥ 18</t>
  </si>
  <si>
    <t>2ο ΝΗΠΙΑΓΩΓΕΙΟ ΚΑΛΑΜΑΡΙΑΣ</t>
  </si>
  <si>
    <t>mail@2nip-kalam.thess.sch.gr</t>
  </si>
  <si>
    <t>Κ. ΚΑΡΑΜΑΝΛΗ 7B</t>
  </si>
  <si>
    <t>1ο ΝΗΠΙΑΓΩΓΕΙΟ ΝΕΩΝ ΕΠΙΒΑΤΩΝ</t>
  </si>
  <si>
    <t>mail@1nip-n-epivat.thess.sch.gr</t>
  </si>
  <si>
    <t>ΝΕΟΙ ΕΠΙΒΑΤΕΣ</t>
  </si>
  <si>
    <t>ΑΝΑΤΟΛΙΚΗΣ ΘΡΑΚΗΣ 8</t>
  </si>
  <si>
    <t>1ο ΔΗΜΟΤΙΚΟ ΣΧΟΛΕΙΟ ΝΕΑΣ ΡΑΙΔΕΣΤΟΥ</t>
  </si>
  <si>
    <t>mail@dim-n-radaist.thess.sch.gr</t>
  </si>
  <si>
    <t>ΤΕΡΜΑ ΘΡΑΚΗΣ</t>
  </si>
  <si>
    <t>11ο ΝΗΠΙΑΓΩΓΕΙΟ ΚΑΛΑΜΑΡΙΑΣ</t>
  </si>
  <si>
    <t>mail@11nip-kalam.thess.sch.gr</t>
  </si>
  <si>
    <t>ΑΔΡΙΑΝΟΥΠΟΛΕΩΣ 4 &amp; ΠΑΠΑΚΥΡΙΤΣΗ</t>
  </si>
  <si>
    <t>2ο ΝΗΠΙΑΓΩΓΕΙΟ ΝΕΩΝ ΕΠΙΒΑΤΩΝ</t>
  </si>
  <si>
    <t>mail@2nip-n-epivat.thess.sch.gr</t>
  </si>
  <si>
    <t>ΤΕΡΡΗ ΙΩΑΝΝΙΔΗ 13</t>
  </si>
  <si>
    <t>18ο ΝΗΠΙΑΓΩΓΕΙΟ ΚΑΛΑΜΑΡΙΑΣ</t>
  </si>
  <si>
    <t>mail@18nip-kalam.thess.sch.gr</t>
  </si>
  <si>
    <t>ΙΩΝΙΑΣ 14</t>
  </si>
  <si>
    <t>72ο ΔΗΜΟΤΙΚΟ ΣΧΟΛΕΙΟ ΘΕΣΣΑΛΟΝΙΚΗΣ</t>
  </si>
  <si>
    <t>mail@72dim-thess.thess.sch.gr</t>
  </si>
  <si>
    <t>ΝΗΠΙΑΓΩΓΕΙΟ ΜΕΣΗΜΕΡΙΟΥ ΘΕΡΜΑΪΚΟΥ</t>
  </si>
  <si>
    <t>mail@nip-mesim.thess.sch.gr</t>
  </si>
  <si>
    <t>ΜΕΣΗΜΕΡΙ</t>
  </si>
  <si>
    <t>43ο ΔΗΜΟΤΙΚΟ ΣΧΟΛΕΙΟ ΘΕΣΣΑΛΟΝΙΚΗΣ</t>
  </si>
  <si>
    <t>mail@43dim-thess.thess.sch.gr</t>
  </si>
  <si>
    <t>ΠΡΟΞ. ΚΟΡΟΜΗΛΑ 25</t>
  </si>
  <si>
    <t>3ο ΝΗΠΙΑΓΩΓΕΙΟ ΦΙΛΥΡΟΥ</t>
  </si>
  <si>
    <t>mail@3nip-filyr.thess.sch.gr</t>
  </si>
  <si>
    <t>ΑΔΑΜΑΝΤΙΟΥ ΚΟΡΑΗ 24</t>
  </si>
  <si>
    <t>7ο ΝΗΠΙΑΓΩΓΕΙΟ ΠΕΡΑΙΑΣ</t>
  </si>
  <si>
    <t>mail@7nip-peraias.thess.sch.gr</t>
  </si>
  <si>
    <t>ΑΙΣΧΥΛΟΥ 4</t>
  </si>
  <si>
    <t>81ο ΔΗΜΟΤΙΚΟ ΣΧΟΛΕΙΟ ΘΕΣΣΑΛΟΝΙΚΗΣ</t>
  </si>
  <si>
    <t>mail@81dim-thess.thess.sch.gr</t>
  </si>
  <si>
    <t>ΔΕΛΦΩΝ 131</t>
  </si>
  <si>
    <t>6ο ΝΗΠΙΑΓΩΓΕΙΟ ΠΕΡΑΙΑΣ</t>
  </si>
  <si>
    <t>mail@6nip-peraias.thess.sch.gr</t>
  </si>
  <si>
    <t>ΠΛΑΤΩΝΟΣ 7</t>
  </si>
  <si>
    <t>5ο ΝΗΠΙΑΓΩΓΕΙΟ ΤΡΙΑΝΔΡΙΑΣ ΘΕΣΣΑΛΟΝΙΚΗΣ</t>
  </si>
  <si>
    <t>mail@5nip-triandr.thess.sch.gr</t>
  </si>
  <si>
    <t>ΖΑΪΜΗ 16</t>
  </si>
  <si>
    <t>1ο ΝΗΠΙΑΓΩΓΕΙΟ ΝΕΟΥ ΡΥΣΙΟΥ</t>
  </si>
  <si>
    <t>mail@nip-n-rysiou.thess.sch.gr</t>
  </si>
  <si>
    <t>ΝΕΟ ΡΥΣΙΟ</t>
  </si>
  <si>
    <t>ΚΑΡΑΒΑΓΓΕΛΗ 34</t>
  </si>
  <si>
    <t>1ο ΔΗΜΟΤΙΚΟ ΣΧΟΛΕΙΟ ΘΕΣΣΑΛΟΝΙΚΗΣ</t>
  </si>
  <si>
    <t>mail@1dim-thess.thess.sch.gr</t>
  </si>
  <si>
    <t>ΠΛΑΤΕΊΑ ΑΓΊΟΥ ΕΛΕΥΘΕΡΊΟΥ 1-ΜΗΤΡΟΠΟΛΙΤΗ ΜΟΣΧΟΝΗΣΙΩΝ 2</t>
  </si>
  <si>
    <t>1ο ΔΗΜΟΤΙΚΟ ΣΧΟΛΕΙΟ ΠΑΝΟΡΑΜΑΤΟΣ</t>
  </si>
  <si>
    <t>mail@1dim-panor.thess.sch.gr</t>
  </si>
  <si>
    <t>Χ. ΓΑΛΑΝΟΥ 10</t>
  </si>
  <si>
    <t>1ο ΝΗΠΙΑΓΩΓΕΙΟ ΤΡΙΛΟΦΟΥ</t>
  </si>
  <si>
    <t>mail@nip-trilof.thess.sch.gr</t>
  </si>
  <si>
    <t>ΤΡΙΛΟΦΟΣ</t>
  </si>
  <si>
    <t>1ο ΝΗΠΙΑΓΩΓΕΙΟ ΠΛΑΓΙΑΡΙΟΥ</t>
  </si>
  <si>
    <t>mail@nip-plagiar.thess.sch.gr</t>
  </si>
  <si>
    <t>ΠΛΑΓΙΑΡΙ</t>
  </si>
  <si>
    <t>Κολοκοτρώνη 28</t>
  </si>
  <si>
    <t>ΠΕΙΡΑΜΑΤΙΚΟ ΔΗΜΟΤΙΚΟ ΣΧΟΛΕΙΟ ΔΙΑΠΟΛΙΤΙΣΜΙΚΗΣ ΕΚΠΑΙΔΕΥΣΗΣ ΝΕΩΝ ΕΠΙΒΑΤΩΝ - ΑΡΧΙΓΕΝΕΙΟ</t>
  </si>
  <si>
    <t>mail@dim-n-epivat.thess.sch.gr</t>
  </si>
  <si>
    <t>ΑΝΩ ΠΕΡΑΙΑ</t>
  </si>
  <si>
    <t>ΠΡΟΕΚΤΑΣΗ ΚΩΣΤΗ ΠΑΛΑΜΑ</t>
  </si>
  <si>
    <t>16ο ΝΗΠΙΑΓΩΓΕΙΟ ΚΑΛΑΜΑΡΙΑΣ</t>
  </si>
  <si>
    <t>mail@16nip-kalam.thess.sch.gr</t>
  </si>
  <si>
    <t>ΓΚΟΝΗ-ΚΥΔΩΝΙΩΝ 34</t>
  </si>
  <si>
    <t>87ο ΔΗΜΟΤΙΚΟ ΣΧΟΛΕΙΟ ΘΕΣΣΑΛΟΝΙΚΗΣ</t>
  </si>
  <si>
    <t>mail@87dim-thess.thess.sch.gr</t>
  </si>
  <si>
    <t>25ης Μαρτίου 1</t>
  </si>
  <si>
    <t>21ο ΔΗΜΟΤΙΚΟ ΣΧΟΛΕΙΟ ΘΕΣΣΑΛΟΝΙΚΗΣ</t>
  </si>
  <si>
    <t>mail@21dim-thess.thess.sch.gr</t>
  </si>
  <si>
    <t>ΤΣΕΛΙΟΥ ΚΑΙ ΤΣΙΑΠΑΝΟΥ</t>
  </si>
  <si>
    <t>53ο ΔΗΜΟΤΙΚΟ ΣΧΟΛΕΙΟ ΘΕΣΣΑΛΟΝΙΚΗΣ</t>
  </si>
  <si>
    <t>mail@53dim-thess.thess.sch.gr</t>
  </si>
  <si>
    <t>ΣΤΕΦ.(ΦΙΛ.) ΔΡΑΓΟΥΜΗ 7-9</t>
  </si>
  <si>
    <t>34ο ΔΗΜΟΤΙΚΟ ΣΧΟΛΕΙΟ ΘΕΣΣΑΛΟΝΙΚΗΣ</t>
  </si>
  <si>
    <t>mail@34dim-thess.thess.sch.gr</t>
  </si>
  <si>
    <t>ΑΡΡΙΑΝΟΥ   3</t>
  </si>
  <si>
    <t>41ο ΔΗΜΟΤΙΚΟ ΣΧΟΛΕΙΟ ΘΕΣΣΑΛΟΝΙΚΗΣ</t>
  </si>
  <si>
    <t>mail@41dim-thess.thess.sch.gr</t>
  </si>
  <si>
    <t>13ο ΝΗΠΙΑΓΩΓΕΙΟ ΚΑΛΑΜΑΡΙΑΣ</t>
  </si>
  <si>
    <t>mail@13nip-kalam.thess.sch.gr</t>
  </si>
  <si>
    <t>ΑΝΑΤΟΛΙΚΗΣ ΘΡΑΚΗΣ 10</t>
  </si>
  <si>
    <t>3ο ΝΗΠΙΑΓΩΓΕΙΟ ΘΕΣΣΑΛΟΝΙΚΗΣ</t>
  </si>
  <si>
    <t>mail@3nip-thess.thess.sch.gr</t>
  </si>
  <si>
    <t>Γ. ΠΑΡΑΣΧΟΥ 2A</t>
  </si>
  <si>
    <t>1ο ΝΗΠΙΑΓΩΓΕΙΟ ΚΑΛΑΜΑΡΙΑΣ</t>
  </si>
  <si>
    <t>mail@1nip-kalam.thess.sch.gr</t>
  </si>
  <si>
    <t>Ι. ΠΑΠΑΝΙΚΟΛΑ 3</t>
  </si>
  <si>
    <t>10ο ΝΗΠΙΑΓΩΓΕΙΟ ΘΕΣΣΑΛΟΝΙΚΗΣ</t>
  </si>
  <si>
    <t>mail@10nip-thess.thess.sch.gr</t>
  </si>
  <si>
    <t>ΧΕΙΜΑΡΑΣ 26</t>
  </si>
  <si>
    <t>50ο ΔΗΜΟΤΙΚΟ ΣΧΟΛΕΙΟ ΘΕΣΣΑΛΟΝΙΚΗΣ</t>
  </si>
  <si>
    <t>mail@50dim-thess.thess.sch.gr</t>
  </si>
  <si>
    <t>25ο ΝΗΠΙΑΓΩΓΕΙΟ ΘΕΣΣΑΛΟΝΙΚΗΣ</t>
  </si>
  <si>
    <t>mail@25nip-thess.thess.sch.gr</t>
  </si>
  <si>
    <t>ΑΝΑΞΙΜΑΝΔΡΟΥ 77</t>
  </si>
  <si>
    <t>64ο ΔΗΜΟΤΙΚΟ ΣΧΟΛΕΙΟ ΘΕΣΣΑΛΟΝΙΚΗΣ</t>
  </si>
  <si>
    <t>mail@64dim-thess.thess.sch.gr</t>
  </si>
  <si>
    <t>ΜΑΖΑΡΑΚΗ 1</t>
  </si>
  <si>
    <t>1ο ΔΗΜΟΤΙΚΟ ΣΧΟΛΕΙΟ ΤΡΙΑΝΔΡΙΑΣ ΘΕΣΣΑΛΟΝΙΚΗΣ</t>
  </si>
  <si>
    <t>mail@1dim-triandr.thess.sch.gr</t>
  </si>
  <si>
    <t>ΓΥΜΝΑΣΤΗΡΙΟΥ 2Α</t>
  </si>
  <si>
    <t>40ο ΔΗΜΟΤΙΚΟ ΣΧΟΛΕΙΟ ΘΕΣΣΑΛΟΝΙΚΗΣ - ΙΩΑΝΝΙΔΕΙΟΣ ΣΧΟΛΗ</t>
  </si>
  <si>
    <t>mail@40dim-thess.thess.sch.gr</t>
  </si>
  <si>
    <t xml:space="preserve">ΘΕΣΣΑΛΟΝΙΚΗ </t>
  </si>
  <si>
    <t>2ο ΔΗΜΟΤΙΚΟ ΣΧΟΛΕΙΟ ΤΡΙΑΝΔΡΙΑΣ ΘΕΣΣΑΛΟΝΙΚΗΣ</t>
  </si>
  <si>
    <t>mail@2dim-triandr.thess.sch.gr</t>
  </si>
  <si>
    <t>ΑΘΑΝΑΣΙΟΥ ΔΙΑΚΟΥ 15</t>
  </si>
  <si>
    <t>2ο ΔΗΜΟΤΙΚΟ ΣΧΟΛΕΙΟ ΝΕΑΣ ΜΗΧΑΝΙΩΝΑΣ</t>
  </si>
  <si>
    <t>mail@2dim-n-michan.thess.sch.gr</t>
  </si>
  <si>
    <t>ΑΘΑΝΑΣΙΟΥ ΔΙΑΚΟΥ 1</t>
  </si>
  <si>
    <t>ΔΗΜΟΤΙΚΟ ΣΧΟΛΕΙΟ ΚΑΤΩ ΣΧΟΛΑΡΙΟΥ</t>
  </si>
  <si>
    <t>mail@dim-kat-schol.thess.sch.gr</t>
  </si>
  <si>
    <t>ΚΑΤΩ ΣΧΟΛΑΡΙ</t>
  </si>
  <si>
    <t>ΛΕΩΦΟΡΟΣ ΟΧΙ</t>
  </si>
  <si>
    <t>82ο ΝΗΠΙΑΓΩΓΕΙΟ ΘΕΣΣΑΛΟΝΙΚΗΣ</t>
  </si>
  <si>
    <t>mail@82nip-thess.thess.sch.gr</t>
  </si>
  <si>
    <t>ΔΕΛΦΩΝ 224</t>
  </si>
  <si>
    <t>1ο ΔΗΜΟΤΙΚΟ ΣΧΟΛΕΙΟ ΦΙΛΥΡΟΥ</t>
  </si>
  <si>
    <t>mail@dim-filyr.thess.sch.gr</t>
  </si>
  <si>
    <t>ΑΝΑΠΑΥΣΕΩΣ 25</t>
  </si>
  <si>
    <t>99ο ΝΗΠΙΑΓΩΓΕΙΟ ΘΕΣΣΑΛΟΝΙΚΗΣ</t>
  </si>
  <si>
    <t>mail@99nip-thess.thess.sch.gr</t>
  </si>
  <si>
    <t>5ο ΔΗΜΟΤΙΚΟ ΣΧΟΛΕΙΟ ΠΥΛΑΙΑΣ</t>
  </si>
  <si>
    <t>mail@5dim-pylaias.thess.sch.gr</t>
  </si>
  <si>
    <t>ΓΕΩΡΓΙΚΗΣ ΣΧΟΛΗΣ 129</t>
  </si>
  <si>
    <t>16ο ΔΗΜΟΤΙΚΟ ΣΧΟΛΕΙΟ ΘΕΣΣΑΛΟΝΙΚΗΣ</t>
  </si>
  <si>
    <t>mail@16dim-thess.thess.sch.gr</t>
  </si>
  <si>
    <t>Θεσσαλονίκη,</t>
  </si>
  <si>
    <t>Πριάμου 2</t>
  </si>
  <si>
    <t>24ο ΔΗΜΟΤΙΚΟ ΣΧΟΛΕΙΟ ΘΕΣΣΑΛΟΝΙΚΗΣ</t>
  </si>
  <si>
    <t>mail@24dim-thess.thess.sch.gr</t>
  </si>
  <si>
    <t>25ο ΔΗΜΟΤΙΚΟ ΣΧΟΛΕΙΟ ΘΕΣΣΑΛΟΝΙΚΗΣ</t>
  </si>
  <si>
    <t>mail@25dim-thess.thess.sch.gr</t>
  </si>
  <si>
    <t>ΔΙΔ. ΑΔΑΜΙΔΗ ΤΕΡΜΑ</t>
  </si>
  <si>
    <t>26ο ΔΗΜΟΤΙΚΟ ΣΧΟΛΕΙΟ ΘΕΣΣΑΛΟΝΙΚΗΣ</t>
  </si>
  <si>
    <t>mail@26dim-thess.thess.sch.gr</t>
  </si>
  <si>
    <t>27ο ΔΗΜΟΤΙΚΟ ΣΧΟΛΕΙΟ ΘΕΣΣΑΛΟΝΙΚΗΣ</t>
  </si>
  <si>
    <t>mail@27dim-thess.thess.sch.gr</t>
  </si>
  <si>
    <t>ΚΑΙΣΑΡΕΙΑΣ 15</t>
  </si>
  <si>
    <t>28ο ΔΗΜΟΤΙΚΟ ΣΧΟΛΕΙΟ ΘΕΣΣΑΛΟΝΙΚΗΣ</t>
  </si>
  <si>
    <t>mail@28dim-thess.thess.sch.gr</t>
  </si>
  <si>
    <t>ΚΑΤΣΙΜΙΔΗ-ΜΗΛΟΥ 33</t>
  </si>
  <si>
    <t>12ο ΝΗΠΙΑΓΩΓΕΙΟ ΚΑΛΑΜΑΡΙΑΣ</t>
  </si>
  <si>
    <t>mail@12nip-kalam.thess.sch.gr</t>
  </si>
  <si>
    <t>23ο ΔΗΜΟΤΙΚΟ ΣΧΟΛΕΙΟ ΘΕΣΣΑΛΟΝΙΚΗΣ</t>
  </si>
  <si>
    <t>mail@23dim-thess.thess.sch.gr</t>
  </si>
  <si>
    <t>ΙΠΠΟΔΡΟΜΙΟΥ 19</t>
  </si>
  <si>
    <t>67ο ΝΗΠΙΑΓΩΓΕΙΟ ΘΕΣΣΑΛΟΝΙΚΗΣ</t>
  </si>
  <si>
    <t>mail@67nip-thess.thess.sch.gr</t>
  </si>
  <si>
    <t>69ο ΝΗΠΙΑΓΩΓΕΙΟ ΘΕΣΣΑΛΟΝΙΚΗΣ</t>
  </si>
  <si>
    <t>mail@69nip-thess.thess.sch.gr</t>
  </si>
  <si>
    <t>ΚΟΣΜΑ ΑΙΤΩΛΟΥ 49</t>
  </si>
  <si>
    <t>76ο ΝΗΠΙΑΓΩΓΕΙΟ ΘΕΣΣΑΛΟΝΙΚΗΣ</t>
  </si>
  <si>
    <t>mail@76nip-thess.thess.sch.gr</t>
  </si>
  <si>
    <t>ΠΑΠΑΖΑΦΕΙΡΙΟΥ 4</t>
  </si>
  <si>
    <t>78ο ΝΗΠΙΑΓΩΓΕΙΟ ΘΕΣΣΑΛΟΝΙΚΗΣ</t>
  </si>
  <si>
    <t>mail@78nip-thess.thess.sch.gr</t>
  </si>
  <si>
    <t>Καρακάση 1</t>
  </si>
  <si>
    <t>106ο ΝΗΠΙΑΓΩΓΕΙΟ ΘΕΣΣΑΛΟΝΙΚΗΣ</t>
  </si>
  <si>
    <t>mail@106nip-thess.thess.sch.gr</t>
  </si>
  <si>
    <t>Ν. ΜΑΝΟΥ 18</t>
  </si>
  <si>
    <t>ΠΕΙΡΑΜΑΤΙΚΟ ΣΧΟΛΕΙΟ ΠΑΝΕΠΙΣΤΗΜΙΟΥ ΘΕΣΣΑΛΟΝΙΚΗΣ - ΔΗΜΟΤΙΚΟ</t>
  </si>
  <si>
    <t>dimpeirthess@sch.gr</t>
  </si>
  <si>
    <t>ΔΕΛΜΟΥΖΟΥ 1</t>
  </si>
  <si>
    <t>3ο ΔΗΜΟΤΙΚΟ ΣΧΟΛΕΙΟ ΤΡΙΑΝΔΡΙΑΣ ΘΕΣΣΑΛΟΝΙΚΗΣ</t>
  </si>
  <si>
    <t>mail@3dim-triandr.thess.sch.gr</t>
  </si>
  <si>
    <t>ΖΑΙΜΗ 16</t>
  </si>
  <si>
    <t>1ο ΝΗΠΙΑΓΩΓΕΙΟ ΘΕΣΣΑΛΟΝΙΚΗΣ</t>
  </si>
  <si>
    <t>mail@1nip-thess.thess.sch.gr</t>
  </si>
  <si>
    <t>ΑΓ. ΕΛΕΥΘΕΡΙΟΥ 1 ΚΑΙ  ΜΟΣΧΟΝΗΣΙΩΝ 2</t>
  </si>
  <si>
    <t>2ο ΠΕΙΡΑΜΑΤΙΚΟ ΝΗΠΙΑΓΩΓΕΙΟ (ΕΝΤΑΓΜΕΝΟ ΣΤΟ Α.Π.Θ.)</t>
  </si>
  <si>
    <t>mail@2nip-peir-thess.thess.sch.gr</t>
  </si>
  <si>
    <t>Μ. Αλεξάνδρου 5</t>
  </si>
  <si>
    <t>100ο ΔΗΜΟΤΙΚΟ ΣΧΟΛΕΙΟ ΘΕΣΣΑΛΟΝΙΚΗΣ</t>
  </si>
  <si>
    <t>mail@100dim-thess.thess.sch.gr</t>
  </si>
  <si>
    <t>ΔΙΔ. Β. ΑΔΑΜΙΔΗ 62</t>
  </si>
  <si>
    <t>4ο ΝΗΠΙΑΓΩΓΕΙΟ ΘΕΣΣΑΛΟΝΙΚΗΣ</t>
  </si>
  <si>
    <t>mail@4nip-thess.thess.sch.gr</t>
  </si>
  <si>
    <t>5ο ΝΗΠΙΑΓΩΓΕΙΟ ΘΕΣΣΑΛΟΝΙΚΗΣ</t>
  </si>
  <si>
    <t>mail@5nip-thess.thess.sch.gr</t>
  </si>
  <si>
    <t>ΜΙΑΟΥΛΗ 43</t>
  </si>
  <si>
    <t>7ο ΝΗΠΙΑΓΩΓΕΙΟ ΘΕΣΣΑΛΟΝΙΚΗΣ</t>
  </si>
  <si>
    <t>mail@7nip-thess.thess.sch.gr</t>
  </si>
  <si>
    <t>Μ. ΜΠΟΤΣΑΡΗ 45</t>
  </si>
  <si>
    <t>14ο ΝΗΠΙΑΓΩΓΕΙΟ ΘΕΣΣΑΛΟΝΙΚΗΣ</t>
  </si>
  <si>
    <t>mail@14nip-thess.thess.sch.gr</t>
  </si>
  <si>
    <t>ΚΟΝΤΟΓΟΥΡΗ 24 &amp; ΑΕΤΟΡΑΧΗΣ</t>
  </si>
  <si>
    <t>1ο ΠΕΙΡΑΜΑΤΙΚΟ ΔΗΜΟΤΙΚΟ ΣΧΟΛΕΙΟ ΘΕΣΣΑΛΟΝΙΚΗΣ (ΕΝΤΑΓΜΕΝΟ ΣΤΟ ΑΠΘ)</t>
  </si>
  <si>
    <t>mail@1dim-aei-thess.thess.sch.gr</t>
  </si>
  <si>
    <t>ΕΓΝΑΤΙΑΣ 132</t>
  </si>
  <si>
    <t>109ο ΔΗΜΟΤΙΚΟ ΣΧΟΛΕΙΟ ΘΕΣΣΑΛΟΝΙΚΗΣ - ΘΕΟΧΑΡΗ-ΜΑΡΙΑΣ ΜΑΝΑΒΗ</t>
  </si>
  <si>
    <t>mail@109dim-thess.thess.sch.gr</t>
  </si>
  <si>
    <t>ΤΣΙΑΠΑΝΟΥ &amp; ΤΣΕΛΙΟΥ</t>
  </si>
  <si>
    <t>17ο ΔΗΜΟΤΙΚΟ ΣΧΟΛΕΙΟ ΘΕΣΣΑΛΟΝΙΚΗΣ</t>
  </si>
  <si>
    <t>mail@17dim-thess.thess.sch.gr</t>
  </si>
  <si>
    <t>ΔΕΛΦΩΝ 196</t>
  </si>
  <si>
    <t>16ο ΝΗΠΙΑΓΩΓΕΙΟ ΘΕΣΣΑΛΟΝΙΚΗΣ</t>
  </si>
  <si>
    <t>mail@16nip-thess.thess.sch.gr</t>
  </si>
  <si>
    <t>ΑΛΚΜΗΝΗΣ 20</t>
  </si>
  <si>
    <t>17ο ΝΗΠΙΑΓΩΓΕΙΟ ΘΕΣΣΑΛΟΝΙΚΗΣ</t>
  </si>
  <si>
    <t>mail@17nip-thess.thess.sch.gr</t>
  </si>
  <si>
    <t>ΝΙΚ.ΠΛΑΣΤΗΡΑ 6 &amp; ΑΛ.ΚΑΜΠΑΝΟΥ</t>
  </si>
  <si>
    <t>44ο ΝΗΠΙΑΓΩΓΕΙΟ ΘΕΣΣΑΛΟΝΙΚΗΣ</t>
  </si>
  <si>
    <t>mail@44nip-thess.thess.sch.gr</t>
  </si>
  <si>
    <t>ΣΤΕΛΙΟΥ ΚΑΖΑΝΤΖΙΔΗ 62-64</t>
  </si>
  <si>
    <t>93ο ΝΗΠΙΑΓΩΓΕΙΟ ΘΕΣΣΑΛΟΝΙΚΗΣ</t>
  </si>
  <si>
    <t>mail@93nip-thess.thess.sch.gr</t>
  </si>
  <si>
    <t>25ΗΣ ΜΑΡΤΙΟΥ 1</t>
  </si>
  <si>
    <t>102ο ΝΗΠΙΑΓΩΓΕΙΟ ΘΕΣΣΑΛΟΝΙΚΗΣ</t>
  </si>
  <si>
    <t>mail@102nip-thess.thess.sch.gr</t>
  </si>
  <si>
    <t>ΝΤΕΠΩ-ΘΕΣΣΑΛΟΝΙΚΗ</t>
  </si>
  <si>
    <t>ΚΑΘ. ΧΑΤΖΗΔΑΚΗ &amp; ΜΕΡΚΟΥΡΙΟΥ</t>
  </si>
  <si>
    <t>ΔΗΜΟΤΙΚΟ ΣΧΟΛΕΙΟ ΑΓΙΑΣ ΤΡΙΑΔΑΣ (ΘΕΡΜΑΪΚΟΥ)</t>
  </si>
  <si>
    <t>mail@dim-ag-triad.thess.sch.gr</t>
  </si>
  <si>
    <t>ΑΓΙΑ ΤΡΙΑΔΑ</t>
  </si>
  <si>
    <t>ΚΟΛΟΚΟΤΡΩΝΗ 4</t>
  </si>
  <si>
    <t>1ο ΔΗΜΟΤΙΚΟ ΣΧΟΛΕΙΟ ΝΕΑΣ ΜΗΧΑΝΙΩΝΑΣ</t>
  </si>
  <si>
    <t>mail@1dim-n-michan.thess.sch.gr</t>
  </si>
  <si>
    <t>ΚΑΝΑΡΗ 17</t>
  </si>
  <si>
    <t>1ο ΔΗΜΟΤΙΚΟ ΣΧΟΛΕΙΟ ΕΠΑΝΟΜΗΣ</t>
  </si>
  <si>
    <t>mail@1dim-epanom.thess.sch.gr</t>
  </si>
  <si>
    <t>ΣΧΟΛΕΙΟΥ 17</t>
  </si>
  <si>
    <t>2ο ΔΗΜΟΤΙΚΟ ΣΧΟΛΕΙΟ ΕΠΑΝΟΜΗΣ</t>
  </si>
  <si>
    <t>mail@2dim-epanom.thess.sch.gr</t>
  </si>
  <si>
    <t>ΑΓ. ΔΗΜΗΤΡΙΟΥ 10</t>
  </si>
  <si>
    <t>ΔΗΜΟΤΙΚΟ ΣΧΟΛΕΙΟ ΑΓΙΑΣ ΠΑΡΑΣΚΕΥΗΣ (ΘΕΡΜΗΣ)</t>
  </si>
  <si>
    <t>mail@dim-ag-parask.thess.sch.gr</t>
  </si>
  <si>
    <t>1ο ΔΗΜΟΤΙΚΟ ΣΧΟΛΕΙΟ ΠΛΑΓΙΑΡΙΟΥ (ΘΕΡΜΗΣ)</t>
  </si>
  <si>
    <t>mail@dim-plagiar.thess.sch.gr</t>
  </si>
  <si>
    <t>ΑΓΙΟΥ ΔΗΜΗΤΡΙΟΥ 6</t>
  </si>
  <si>
    <t>ΔΗΜΟΤΙΚΟ ΣΧΟΛΕΙΟ ΑΓΙΟΥ ΑΝΤΩΝΙΟΥ (ΘΕΡΜΗΣ)</t>
  </si>
  <si>
    <t>mail@dim-ag-anton.thess.sch.gr</t>
  </si>
  <si>
    <t xml:space="preserve">ΑΓΙΟΣ ΑΝΤΩΝΙΟΣ </t>
  </si>
  <si>
    <t>ΑΓ. ΑΝΤΩΝΙΟΣ</t>
  </si>
  <si>
    <t>2ο ΔΗΜΟΤΙΚΟ ΣΧΟΛΕΙΟ ΠΕΡΑΙΑΣ</t>
  </si>
  <si>
    <t>mail@2dim-peraias.thess.sch.gr</t>
  </si>
  <si>
    <t>3ο ΔΗΜΟΤΙΚΟ ΣΧΟΛΕΙΟ ΠΕΡΑΙΑΣ</t>
  </si>
  <si>
    <t>mail@3dim-peraias.thess.sch.gr</t>
  </si>
  <si>
    <t>ΜΗΔΕΙΑΣ 8</t>
  </si>
  <si>
    <t>4ο ΔΗΜΟΤΙΚΟ ΣΧΟΛΕΙΟ ΠΕΡΑΙΑΣ</t>
  </si>
  <si>
    <t>mail@4dim-peraias.thess.sch.gr</t>
  </si>
  <si>
    <t>ΡΗΓΑ ΦΕΡΑΙΟΥ 14Β</t>
  </si>
  <si>
    <t>ΝΗΠΙΑΓΩΓΕΙΟ ΑΓΙΑΣ ΤΡΙΑΔΑΣ (ΘΕΡΜΑΪΚΟΥ)</t>
  </si>
  <si>
    <t>mail@1nip-ag-triad.thess.sch.gr</t>
  </si>
  <si>
    <t>ΛΕΩΦ. ΘΕΣΣΑΛΟΝΙΚΗΣ</t>
  </si>
  <si>
    <t>1ο ΝΗΠΙΑΓΩΓΕΙΟ ΒΑΣΙΛΙΚΩΝ</t>
  </si>
  <si>
    <t>mail@1nip-vasil.thess.sch.gr</t>
  </si>
  <si>
    <t>ΒΑΣΙΛΙΚΑ</t>
  </si>
  <si>
    <t>1ο ΝΗΠΙΑΓΩΓΕΙΟ ΠΕΡΑΙΑΣ</t>
  </si>
  <si>
    <t>mail@1nip-peraias.thess.sch.gr</t>
  </si>
  <si>
    <t>ΑΜΠΕΛΟΚΗΠΩΝ 57</t>
  </si>
  <si>
    <t>1ο ΝΗΠΙΑΓΩΓΕΙΟ ΕΠΑΝΟΜΗΣ</t>
  </si>
  <si>
    <t>mail@1nip-epanom.thess.sch.gr</t>
  </si>
  <si>
    <t>2ο ΝΗΠΙΑΓΩΓΕΙΟ ΠΕΡΑΙΑΣ</t>
  </si>
  <si>
    <t>mail@2nip-peraias.thess.sch.gr</t>
  </si>
  <si>
    <t>27ο ΝΗΠΙΑΓΩΓΕΙΟ ΚΑΛΑΜΑΡΙΑΣ</t>
  </si>
  <si>
    <t>mail@27nip-kalam.thess.sch.gr</t>
  </si>
  <si>
    <t>15ο ΝΗΠΙΑΓΩΓΕΙΟ ΚΑΛΑΜΑΡΙΑΣ</t>
  </si>
  <si>
    <t>mail@15nip-kalam.thess.sch.gr</t>
  </si>
  <si>
    <t>ΘΕΤΙΔΟΣ &amp; ΗΣΙΟΔΟΥ</t>
  </si>
  <si>
    <t>9ο ΝΗΠΙΑΓΩΓΕΙΟ ΚΑΛΑΜΑΡΙΑΣ</t>
  </si>
  <si>
    <t>mail@9nip-kalam.thess.sch.gr</t>
  </si>
  <si>
    <t>ΚΑΛΛΙΔΟΥ-ΠΑΠΑΓΟΥ</t>
  </si>
  <si>
    <t>3ο ΔΗΜΟΤΙΚΟ ΣΧΟΛΕΙΟ ΘΕΣΣΑΛΟΝΙΚΗΣ</t>
  </si>
  <si>
    <t>mail@3dim-thess.thess.sch.gr</t>
  </si>
  <si>
    <t>13ο ΔΗΜΟΤΙΚΟ ΣΧΟΛΕΙΟ ΘΕΣΣΑΛΟΝΙΚΗΣ</t>
  </si>
  <si>
    <t>mail@13dim-thess.thess.sch.gr</t>
  </si>
  <si>
    <t>ΒΑΛΑΓΙΑΝΝΗ 1</t>
  </si>
  <si>
    <t>29ο ΔΗΜΟΤΙΚΟ ΣΧΟΛΕΙΟ ΘΕΣΣΑΛΟΝΙΚΗΣ</t>
  </si>
  <si>
    <t>mail@29dim-thess.thess.sch.gr</t>
  </si>
  <si>
    <t>89ο ΔΗΜΟΤΙΚΟ ΣΧΟΛΕΙΟ ΘΕΣΣΑΛΟΝΙΚΗΣ</t>
  </si>
  <si>
    <t>mail@89dim-thess.thess.sch.gr</t>
  </si>
  <si>
    <t>Β. ΟΛΓΑΣ-Ν. ΜΑΝΟΥ</t>
  </si>
  <si>
    <t>94ο ΔΗΜΟΤΙΚΟ ΣΧΟΛΕΙΟ ΘΕΣΣΑΛΟΝΙΚΗΣ</t>
  </si>
  <si>
    <t>mail@94dim-thess.thess.sch.gr</t>
  </si>
  <si>
    <t>ΚΡΗΤΗΣ 88</t>
  </si>
  <si>
    <t>5ο ΔΗΜΟΤΙΚΟ ΣΧΟΛΕΙΟ ΘΕΣΣΑΛΟΝΙΚΗΣ</t>
  </si>
  <si>
    <t>mail@5dim-thess.thess.sch.gr</t>
  </si>
  <si>
    <t>ΨΥΧΑΡΗ 8 &amp; ΔΕΛΦΩΝ</t>
  </si>
  <si>
    <t>107ο ΔΗΜΟΤΙΚΟ ΣΧΟΛΕΙΟ ΘΕΣΣΑΛΟΝΙΚΗΣ</t>
  </si>
  <si>
    <t>mail@107dim-thess.thess.sch.gr</t>
  </si>
  <si>
    <t>ΝΕΜΕΑΣ 1</t>
  </si>
  <si>
    <t>9ο ΝΗΠΙΑΓΩΓΕΙΟ ΘΕΣΣΑΛΟΝΙΚΗΣ</t>
  </si>
  <si>
    <t>mail@9nip-thess.thess.sch.gr</t>
  </si>
  <si>
    <t>2ο ΝΗΠΙΑΓΩΓΕΙΟ ΧΟΡΤΙΑΤΗ</t>
  </si>
  <si>
    <t>mail@2nip-chort.thess.sch.gr</t>
  </si>
  <si>
    <t>ΣΧΟΛΕΙΩΝ 3</t>
  </si>
  <si>
    <t>6ο ΝΗΠΙΑΓΩΓΕΙΟ ΠΥΛΑΙΑΣ</t>
  </si>
  <si>
    <t>mail@6nip-pylaias.thess.sch.gr</t>
  </si>
  <si>
    <t>ΒΟΥΛΓΑΡΟΚΤΟΝΟΥ-ΚΥΠΡΟΥ</t>
  </si>
  <si>
    <t>63ο ΝΗΠΙΑΓΩΓΕΙΟ ΘΕΣΣΑΛΟΝΙΚΗΣ</t>
  </si>
  <si>
    <t>mail@63nip-thess.thess.sch.gr</t>
  </si>
  <si>
    <t>ΑΡΡΙΑΝΟΥ  3</t>
  </si>
  <si>
    <t>3ο ΔΗΜΟΤΙΚΟ ΣΧΟΛΕΙΟ ΠΥΛΑΙΑΣ</t>
  </si>
  <si>
    <t>mail@3dim-pylaias.thess.sch.gr</t>
  </si>
  <si>
    <t>ΓΕΩΡΓΙΟΥ ΣΕΦΕΡΗ 24</t>
  </si>
  <si>
    <t>ΔΗΜΟΤΙΚΟ ΣΧΟΛΕΙΟ ΝΕΟΥ ΡΥΣΙΟΥ</t>
  </si>
  <si>
    <t>mail@dim-n-rysiou.thess.sch.gr</t>
  </si>
  <si>
    <t>ΤΕΡΜΑ 25ης ΜΑΡΤΙΟΥ</t>
  </si>
  <si>
    <t>2ο ΔΗΜΟΤΙΚΟ ΣΧΟΛΕΙΟ ΝΕΑΣ ΡΑΙΔΕΣΤΟΥ</t>
  </si>
  <si>
    <t>mail@2dim-n-raidest.thess.sch.gr</t>
  </si>
  <si>
    <t>22 χμ ΕΘΝ.ΟΔ. ΘΕΣ/ΝΙΚΗΣ-ΠΟΛΥΓΥΡΟΥ</t>
  </si>
  <si>
    <t>2ο ΔΗΜΟΤΙΚΟ ΣΧΟΛΕΙΟ ΤΡΙΛΟΦΟΥ-ΖΟΥΛΦΑΚΟΣ ΔΗΜΗΤΡΗΣ</t>
  </si>
  <si>
    <t>mail@2dim-trilof.thess.sch.gr</t>
  </si>
  <si>
    <t>ΕΣΠΕΡΙΔΩΝ</t>
  </si>
  <si>
    <t>2ο ΔΗΜΟΤΙΚΟ ΣΧΟΛΕΙΟ ΑΣΒΕΣΤΟΧΩΡΙΟΥ</t>
  </si>
  <si>
    <t>mail@2dim-asvest.thess.sch.gr</t>
  </si>
  <si>
    <t>2ο ΔΗΜΟΤΙΚΟ ΣΧΟΛΕΙΟ ΦΙΛΥΡΟΥ</t>
  </si>
  <si>
    <t>mail@2dim-filyr.thess.sch.gr</t>
  </si>
  <si>
    <t>7ο ΝΗΠΙΑΓΩΓΕΙΟ ΠΥΛΑΙΑΣ</t>
  </si>
  <si>
    <t>mail@7nip-pylaias.thess.sch.gr</t>
  </si>
  <si>
    <t>ΔΟΜΝΑΣ ΒΙΖΒΙΖΗ 27</t>
  </si>
  <si>
    <t>5ο ΔΗΜΟΤΙΚΟ ΣΧΟΛΕΙΟ ΠΕΡΑΙΑΣ</t>
  </si>
  <si>
    <t>mail@5dim-peraias.thess.sch.gr</t>
  </si>
  <si>
    <t>ΠΙΝΔΑΡΟΥ 20</t>
  </si>
  <si>
    <t>3ο ΝΗΠΙΑΓΩΓΕΙΟ ΤΡΙΛΟΦΟΥ</t>
  </si>
  <si>
    <t>mail@3nip-trilof.thess.sch.gr</t>
  </si>
  <si>
    <t>3ο ΝΗΠΙΑΓΩΓΕΙΟ ΝΕΑΣ ΡΑΙΔΕΣΤΟΥ</t>
  </si>
  <si>
    <t>mail@3nip-n-raidest.thess.sch.gr</t>
  </si>
  <si>
    <t>ΚΩΝ. ΚΑΡΑΜΑΝΛΗ 1</t>
  </si>
  <si>
    <t>4ο ΔΗΜΟΤΙΚΟ ΣΧΟΛΕΙΟ ΠΥΛΑΙΑΣ</t>
  </si>
  <si>
    <t>mail@4dim-pylaias.thess.sch.gr</t>
  </si>
  <si>
    <t>ΑΜΦΟΤΕΡΟΥ - ΒΕΡΓΙΝΑΣ</t>
  </si>
  <si>
    <t>5ο ΔΗΜΟΤΙΚΟ ΣΧΟΛΕΙΟ ΘΕΡΜΗΣ-ΤΡΙΑΔΙΟΥ</t>
  </si>
  <si>
    <t>mail@5dim-therm.thess.sch.gr</t>
  </si>
  <si>
    <t>ΕΛΛΗΣ ΛΑΜΠΕΤΗ 10</t>
  </si>
  <si>
    <t>ΔΗΜΟΤΙΚΟ ΣΧΟΛΕΙΟ ΒΑΣΙΛΙΚΩΝ</t>
  </si>
  <si>
    <t>mail@1dim-vasil.thess.sch.gr</t>
  </si>
  <si>
    <t>ΔΗΜΟΤΙΚΟ ΣΧΟΛΕΙΟ ΜΕΣΗΜΕΡΙΟΥ</t>
  </si>
  <si>
    <t>mail@dim-mesim.thess.sch.gr</t>
  </si>
  <si>
    <t>2ο ΔΗΜΟΤΙΚΟ ΣΧΟΛΕΙΟ ΠΛΑΓΙΑΡΙΟΥ</t>
  </si>
  <si>
    <t>mail@2dim-plagiar.thess.sch.gr</t>
  </si>
  <si>
    <t>ΑΓΙΟΥ ΔΗΜΗΤΡΙΟΥ 6Β</t>
  </si>
  <si>
    <t>1ο ΔΗΜΟΤΙΚΟ ΣΧΟΛΕΙΟ ΤΡΙΛΟΦΟΥ</t>
  </si>
  <si>
    <t>mail@dim-trilof.thess.sch.gr</t>
  </si>
  <si>
    <t>2ο ΝΗΠΙΑΓΩΓΕΙΟ ΘΕΣΣΑΛΟΝΙΚΗΣ</t>
  </si>
  <si>
    <t>mail@2nip-thess.thess.sch.gr</t>
  </si>
  <si>
    <t>Ν. ΤΥΠΑ 1</t>
  </si>
  <si>
    <t>ΝΗΠΙΑΓΩΓΕΙΟ ΑΓΙΑΣ ΠΑΡΑΣΚΕΥΗΣ ΘΕΣΣΑΛΟΝΙΚΗΣ</t>
  </si>
  <si>
    <t>mail@1nip-ag-parask.thess.sch.gr</t>
  </si>
  <si>
    <t>6ο ΝΗΠΙΑΓΩΓΕΙΟ ΘΕΡΜΗΣ</t>
  </si>
  <si>
    <t>mail@6nip-therm.thess.sch.gr</t>
  </si>
  <si>
    <t>ΑΘΗΝΑΣ 14</t>
  </si>
  <si>
    <t>ΔΗΜΟΤΙΚΟ ΣΧΟΛΕΙΟ ΝΕΑΣ ΚΕΡΑΣΙΑΣ</t>
  </si>
  <si>
    <t>mail@dim-keras.thess.sch.gr</t>
  </si>
  <si>
    <t>ΝΕΑ ΚΕΡΑΣΙΑ</t>
  </si>
  <si>
    <t>ΙΩΝΟΣ ΔΡΑΓΟΥΜΗ 34</t>
  </si>
  <si>
    <t>2ο ΔΗΜΟΤΙΚΟ ΣΧΟΛΕΙΟ ΚΑΡΔΙΑΣ</t>
  </si>
  <si>
    <t>mail@2dim-kardias.thess.sch.gr</t>
  </si>
  <si>
    <t>ΕΥΜΕΝΟΥΣ  ΚΑΡΔΙΑΝΟΥ</t>
  </si>
  <si>
    <t>9ο ΝΗΠΙΑΓΩΓΕΙΟ ΠΥΛΑΙΑΣ</t>
  </si>
  <si>
    <t>mail@9nip-pylaias.thess.sch.gr</t>
  </si>
  <si>
    <t>Ναυπάκτου, Τήνου, Καπετάν Ντόγρα &amp; Πάτμου</t>
  </si>
  <si>
    <t>Π.Ε. ΔΥΤ. ΘΕΣ/ΝΙΚΗΣ</t>
  </si>
  <si>
    <t>3ο ΝΗΠΙΑΓΩΓΕΙΟ ΕΛΕΥΘΕΡΙΟΥ-ΚΟΡΔΕΛΙΟΥ</t>
  </si>
  <si>
    <t>mail@3nip-elefth.thess.sch.gr</t>
  </si>
  <si>
    <t>ΚΟΡΔΕΛΙΟΥ-ΕΥΟΣΜΟΥ</t>
  </si>
  <si>
    <t>ΕΛΕΥΘΕΡΙΟΥ-ΚΟΡΔΕΛΙΟΥ</t>
  </si>
  <si>
    <t>25 ΜΑΡΤΙΟΥ 2</t>
  </si>
  <si>
    <t>1ο ΝΗΠΙΑΓΩΓΕΙΟ ΕΥΟΣΜΟΥ</t>
  </si>
  <si>
    <t>mail@1nip-evosm.thess.sch.gr</t>
  </si>
  <si>
    <t>ΕΥΟΣΜΟΥ</t>
  </si>
  <si>
    <t>ΔΕΚΑΤΗΣ ΕΒΔΟΜΗΣ ΝΟΕΜΒΡΗ-ΒΕΡΓΙΝΑΣ</t>
  </si>
  <si>
    <t>2ο ΠΕΙΡΑΜΑΤΙΚΟ ΝΗΠΙΑΓΩΓΕΙΟ ΕΥΟΣΜΟΥ</t>
  </si>
  <si>
    <t>mail@2nip-evosm.thess.sch.gr</t>
  </si>
  <si>
    <t>ΚΑΡΑΟΛΗ &amp; ΔΗΜΗΤΡΙΟΥ 26 ΜΕ ΕΛΥΤΗ ΓΩΝΙΑ</t>
  </si>
  <si>
    <t>3ο ΝΗΠΙΑΓΩΓΕΙΟ ΕΥΟΣΜΟΥ</t>
  </si>
  <si>
    <t>mail@3nip-evosm.thess.sch.gr</t>
  </si>
  <si>
    <t>ΜΑΚΕΔΟΝΙΑΣ-ΝΟΤΑΡΑ</t>
  </si>
  <si>
    <t>7ο ΝΗΠΙΑΓΩΓΕΙΟ ΕΥΟΣΜΟΥ</t>
  </si>
  <si>
    <t>mail@7nip-evosm.thess.sch.gr</t>
  </si>
  <si>
    <t>ΠΑΠΑΦΛΕΣΣΑ 18 ΜΕ ΖΩΟΔΟΧΟΥ ΠΗΓΗΣ</t>
  </si>
  <si>
    <t>8ο ΝΗΠΙΑΓΩΓΕΙΟ ΕΥΟΣΜΟΥ</t>
  </si>
  <si>
    <t>mail@8nip-evosm.thess.sch.gr</t>
  </si>
  <si>
    <t>ΙΘΑΚΗΣ 22</t>
  </si>
  <si>
    <t>1ο ΝΗΠΙΑΓΩΓΕΙΟ ΕΛΕΥΘΕΡΙΟΥ-ΚΟΡΔΕΛΙΟΥ</t>
  </si>
  <si>
    <t>mail@1nip-elefth.thess.sch.gr</t>
  </si>
  <si>
    <t>ΚΑΤΣΑΝΤΩΝΗ-ΚΑΡΑΒΑΓΓΕΛΗ</t>
  </si>
  <si>
    <t>2ο ΝΗΠΙΑΓΩΓΕΙΟ ΕΛΕΥΘΕΡΙΟΥ-ΚΟΡΔΕΛΙΟΥ</t>
  </si>
  <si>
    <t>mail@2nip-elefth.thess.sch.gr</t>
  </si>
  <si>
    <t>ΜΑΚΕΔΟΝΟΜΑΧΩΝ 1-ΣΚΡΑ</t>
  </si>
  <si>
    <t>4ο ΝΗΠΙΑΓΩΓΕΙΟ ΕΛΕΥΘΕΡΙΟΥ- ΚΟΡΔΕΛΙΟΥ</t>
  </si>
  <si>
    <t>mail@4nip-elefth.thess.sch.gr</t>
  </si>
  <si>
    <t>Κ.ΚΑΡΑΜΑΝΛΗ-Μ.ΑΛΕΞΑΝΔΡΟΥ 37</t>
  </si>
  <si>
    <t>6ο ΝΗΠΙΑΓΩΓΕΙΟ ΕΛΕΥΘΕΡΙΟΥ-ΚΟΡΔΕΛΙΟΥ</t>
  </si>
  <si>
    <t>mail@6nip-elefth.thess.sch.gr</t>
  </si>
  <si>
    <t>ΔΑΒΑΚΗ 18</t>
  </si>
  <si>
    <t>10ο ΝΗΠΙΑΓΩΓΕΙΟ ΕΥΟΣΜΟΥ</t>
  </si>
  <si>
    <t>mail@10nip-evosm.thess.sch.gr</t>
  </si>
  <si>
    <t>ΕΙΚΟΣΤΗΣ ΟΓΔΟΗΣ ΟΚΤΩΒΡΙΟΥ 13</t>
  </si>
  <si>
    <t>12ο ΝΗΠΙΑΓΩΓΕΙΟ ΕΥΟΣΜΟΥ</t>
  </si>
  <si>
    <t>mail@12nip-evosm.thess.sch.gr</t>
  </si>
  <si>
    <t>ΑΣΤΡΟΥΣ - ΤΡΙΤΗΣ ΣΕΠΤΕΜΒΡΙΟΥ</t>
  </si>
  <si>
    <t>14ο ΝΗΠΙΑΓΩΓΕΙΟ ΕΥΟΣΜΟΥ</t>
  </si>
  <si>
    <t>mail@14nip-evosm.thess.sch.gr</t>
  </si>
  <si>
    <t>Μ.ΑΣΙΑΣ ΚΑΙ ΚΛΕΙΣΟΥΡΑΣ</t>
  </si>
  <si>
    <t>17ο ΝΗΠΙΑΓΩΓΕΙΟ ΕΥΟΣΜΟΥ</t>
  </si>
  <si>
    <t>mail@17nip-evosm.thess.sch.gr</t>
  </si>
  <si>
    <t>19ο ΝΗΠΙΑΓΩΓΕΙΟ ΕΥΟΣΜΟΥ</t>
  </si>
  <si>
    <t>mail@19nip-evosm.thess.sch.gr</t>
  </si>
  <si>
    <t>ΕΥΟΣΜΟΣ</t>
  </si>
  <si>
    <t>ΜΟΥΣΩΝ  82</t>
  </si>
  <si>
    <t>20ο ΝΗΠΙΑΓΩΓΕΙΟ ΕΥΟΣΜΟΥ</t>
  </si>
  <si>
    <t>mail@20nip-evosm.thess.sch.gr</t>
  </si>
  <si>
    <t>ΜΑΙΑΝΔΡΟΥ ΚΑΙ 25η ΜΑΡΤΙΟΥ 20</t>
  </si>
  <si>
    <t>2ο ΝΗΠΙΑΓΩΓΕΙΟ ΣΤΑΥΡΟΥΠΟΛΗΣ</t>
  </si>
  <si>
    <t>mail@2nip-stavr.thess.sch.gr</t>
  </si>
  <si>
    <t>ΠΑΥΛΟΥ ΜΕΛΑ</t>
  </si>
  <si>
    <t>ΣΤΑΥΡΟΥΠΟΛΗΣ</t>
  </si>
  <si>
    <t>ΦΛΕΜΙΓΚ 41</t>
  </si>
  <si>
    <t>3ο ΝΗΠΙΑΓΩΓΕΙΟ ΣΤΑΥΡΟΥΠΟΛΗΣ</t>
  </si>
  <si>
    <t>mail@3nip-stavr.thess.sch.gr</t>
  </si>
  <si>
    <t>ΝΑΥΑΡΙΝΟΥ 1</t>
  </si>
  <si>
    <t>4ο ΝΗΠΙΑΓΩΓΕΙΟ ΣΤΑΥΡΟΥΠΟΛΗΣ</t>
  </si>
  <si>
    <t>mail@4nip-stavr.thess.sch.gr</t>
  </si>
  <si>
    <t>ΔΑΒΑΚΗ 40</t>
  </si>
  <si>
    <t>1ο ΝΗΠΙΑΓΩΓΕΙΟ ΝΕΑΣ ΜΕΣΗΜΒΡΙΑΣ</t>
  </si>
  <si>
    <t>mail@1nip-n-mesimvr.thess.sch.gr</t>
  </si>
  <si>
    <t>ΧΑΛΚΗΔΟΝΟΣ</t>
  </si>
  <si>
    <t>ΝΕΑ ΜΕΣΗΜΒΡΙΑ</t>
  </si>
  <si>
    <t>Κ&amp;Δ. ΔΑΜΑΣΚΟΥ 70</t>
  </si>
  <si>
    <t>6ο ΝΗΠΙΑΓΩΓΕΙΟ ΣΤΑΥΡΟΥΠΟΛΗΣ</t>
  </si>
  <si>
    <t>mail@6nip-stavr.thess.sch.gr</t>
  </si>
  <si>
    <t>ΣΟΥΛΙΟΥ  32</t>
  </si>
  <si>
    <t>7ο ΝΗΠΙΑΓΩΓΕΙΟ ΣΤΑΥΡΟΥΠΟΛΗΣ</t>
  </si>
  <si>
    <t>mail@7nip-stavr.thess.sch.gr</t>
  </si>
  <si>
    <t>Χ. ΓΡΑΒΙΑΣ 1</t>
  </si>
  <si>
    <t>12ο ΝΗΠΙΑΓΩΓΕΙΟ ΣΤΑΥΡΟΥΠΟΛΗΣ</t>
  </si>
  <si>
    <t>mail@12nip-stavr.thess.sch.gr</t>
  </si>
  <si>
    <t>ΧΡ. ΣΜΥΡΝΗΣ 18</t>
  </si>
  <si>
    <t>13ο ΝΗΠΙΑΓΩΓΕΙΟ ΣΤΑΥΡΟΥΠΟΛΗΣ</t>
  </si>
  <si>
    <t>mail@13nip-stavr.thess.sch.gr</t>
  </si>
  <si>
    <t>ΑΡΙΣΤΕΙΔΗ 2</t>
  </si>
  <si>
    <t>14ο ΝΗΠΙΑΓΩΓΕΙΟ ΣΤΑΥΡΟΥΠΟΛΗΣ</t>
  </si>
  <si>
    <t>mail@14nip-stavr.thess.sch.gr</t>
  </si>
  <si>
    <t>Δ. ΓΛΗΝΟΥ 10</t>
  </si>
  <si>
    <t>15ο ΝΗΠΙΑΓΩΓΕΙΟ ΣΤΑΥΡΟΥΠΟΛΗΣ</t>
  </si>
  <si>
    <t>mail@15nip-stavr.thess.sch.gr</t>
  </si>
  <si>
    <t>ΠΕΡΙΚΛΕΟΥΣ 23</t>
  </si>
  <si>
    <t>17ο ΝΗΠΙΑΓΩΓΕΙΟ ΣΤΑΥΡΟΥΠΟΛΗΣ</t>
  </si>
  <si>
    <t>mail@17nip-stavr.thess.sch.gr</t>
  </si>
  <si>
    <t>ΜΙΝΩΤΗ 1</t>
  </si>
  <si>
    <t>18ο ΝΗΠΙΑΓΩΓΕΙΟ ΣΤΑΥΡΟΥΠΟΛΗΣ</t>
  </si>
  <si>
    <t>mail@18nip-stavr.thess.sch.gr</t>
  </si>
  <si>
    <t>ΒΟΥΛΓΑΡΟΚΤΟΝΟΥ 6</t>
  </si>
  <si>
    <t>19ο ΝΗΠΙΑΓΩΓΕΙΟ ΣΤΑΥΡΟΥΠΟΛΗΣ</t>
  </si>
  <si>
    <t>mail@19nip-stavr.thess.sch.gr</t>
  </si>
  <si>
    <t>ΓΡ. ΛΑΜΠΡΑΚΗ 26</t>
  </si>
  <si>
    <t>21ο ΝΗΠΙΑΓΩΓΕΙΟ ΣΤΑΥΡΟΥΠΟΛΗΣ</t>
  </si>
  <si>
    <t>mail@21nip-stavr.thess.sch.gr</t>
  </si>
  <si>
    <t>ΠΑΠΑΝΔΡΕΟΥ 1</t>
  </si>
  <si>
    <t>21ο ΝΗΠΙΑΓΩΓΕΙΟ ΕΥΟΣΜΟΥ</t>
  </si>
  <si>
    <t>mail@21nip-evosm.thess.sch.gr</t>
  </si>
  <si>
    <t>ΚΑΖΑΝΤΖΑΚΗ 41</t>
  </si>
  <si>
    <t>23ο ΝΗΠΙΑΓΩΓΕΙΟ ΕΥΟΣΜΟΥ</t>
  </si>
  <si>
    <t>mail@23nip-evosm.thess.sch.gr</t>
  </si>
  <si>
    <t>ΕΘΝΙΚΗΣ ΑΝΤΙΣΤΑΣΗΣ 84</t>
  </si>
  <si>
    <t>4ο ΝΗΠΙΑΓΩΓΕΙΟ ΑΜΠΕΛΟΚΗΠΩΝ</t>
  </si>
  <si>
    <t>mail@4nip-ampel.thess.sch.gr</t>
  </si>
  <si>
    <t>ΑΜΠΕΛΟΚΗΠΩΝ-ΜΕΝΕΜΕΝΗΣ</t>
  </si>
  <si>
    <t>ΦΙΛΙΠΠΟΥΠΟΛΕΩΣ 58</t>
  </si>
  <si>
    <t>7ο ΝΗΠΙΑΓΩΓΕΙΟ ΑΜΠΕΛΟΚΗΠΩΝ</t>
  </si>
  <si>
    <t>mail@7nip-ampel.thess.sch.gr</t>
  </si>
  <si>
    <t>ΤΖΕΚΑΚΗ</t>
  </si>
  <si>
    <t>8ο ΝΗΠΙΑΓΩΓΕΙΟ ΑΜΠΕΛΟΚΗΠΩΝ - 9190603</t>
  </si>
  <si>
    <t>mail@8nip-ampel.thess.sch.gr</t>
  </si>
  <si>
    <t>ΕΛΕΥΘΕΡΙΑΣ  4</t>
  </si>
  <si>
    <t>9ο ΝΗΠΙΑΓΩΓΕΙΟ ΑΜΠΕΛΟΚΗΠΩΝ</t>
  </si>
  <si>
    <t>mail@9nip-ampel.thess.sch.gr</t>
  </si>
  <si>
    <t>ΠΑΝΤΑΖΟΠΟΥΛΟΥ  51</t>
  </si>
  <si>
    <t>14ο ΝΗΠΙΑΓΩΓΕΙΟ ΑΜΠΕΛΟΚΗΠΩΝ</t>
  </si>
  <si>
    <t>mail@14nip-ampel.thess.sch.gr</t>
  </si>
  <si>
    <t>ΜΑΡΑΘΩΝΟΣ 13</t>
  </si>
  <si>
    <t>12ο ΝΗΠΙΑΓΩΓΕΙΟ ΑΜΠΕΛΟΚΗΠΩΝ</t>
  </si>
  <si>
    <t>mail@12nip-ampel.thess.sch.gr</t>
  </si>
  <si>
    <t>ΕΛΕΥΘΕΡΙΑΣ-ΔΙΓΕΝΗ</t>
  </si>
  <si>
    <t>2ο ΔΗΜΟΤΙΚΟ ΣΧΟΛΕΙΟ ΩΡΑΙΟΚΑΣΤΡΟΥ</t>
  </si>
  <si>
    <t>mail@2dim-oraiok.thess.sch.gr</t>
  </si>
  <si>
    <t>ΩΡΑΙΟΚΑΣΤΡΟΥ</t>
  </si>
  <si>
    <t>ΩΡΑΙΟΚΑΣΤΡΟ</t>
  </si>
  <si>
    <t>ΛΕΜΟΝΙΑΣ  ΑΛΣΟΥΣ</t>
  </si>
  <si>
    <t>2ο ΔΗΜΟΤΙΚΟ ΣΧΟΛΕΙΟ ΣΙΝΔΟΥ</t>
  </si>
  <si>
    <t>mail@2dim-sindou.thess.sch.gr</t>
  </si>
  <si>
    <t>ΔΕΛΤΑ</t>
  </si>
  <si>
    <t>ΣΙΝΔΟΣ</t>
  </si>
  <si>
    <t>Μ. ΑΛΕΞΑΝΔΡΟΥ 74</t>
  </si>
  <si>
    <t>1ο ΔΗΜΟΤΙΚΟ ΣΧΟΛΕΙΟ ΕΥΚΑΡΠΙΑΣ</t>
  </si>
  <si>
    <t>mail@dim-efkarp.thess.sch.gr</t>
  </si>
  <si>
    <t>ΕΥΚΑΡΠΙΑ</t>
  </si>
  <si>
    <t>Νικολάου Πλαστήρα 2 Ευκαρπία</t>
  </si>
  <si>
    <t>3ο ΔΗΜΟΤΙΚΟ ΣΧΟΛΕΙΟ ΑΜΠΕΛΟΚΗΠΩΝ</t>
  </si>
  <si>
    <t>mail@3dim-ampel.thess.sch.gr</t>
  </si>
  <si>
    <t>2ο ΝΗΠΙΑΓΩΓΕΙΟ ΣΥΚΕΩΝ</t>
  </si>
  <si>
    <t>mail@2nip-sykeon.thess.sch.gr</t>
  </si>
  <si>
    <t>ΝΕΑΠΟΛΗΣ-ΣΥΚΕΩΝ</t>
  </si>
  <si>
    <t>ΣΥΚΕΩΝ</t>
  </si>
  <si>
    <t>ΡΗΓΑ ΦΕΡΡΑΙΟΥ 168</t>
  </si>
  <si>
    <t>2ο ΝΗΠΙΑΓΩΓΕΙΟ ΠΟΛΙΧΝΗΣ</t>
  </si>
  <si>
    <t>mail@2nip-polichn.thess.sch.gr</t>
  </si>
  <si>
    <t>ΠΟΛΙΧΝΗΣ</t>
  </si>
  <si>
    <t>ΑΚΡΟΠΟΛΕΩΣ 16</t>
  </si>
  <si>
    <t>4ο ΝΗΠΙΑΓΩΓΕΙΟ ΠΟΛΙΧΝΗΣ</t>
  </si>
  <si>
    <t>mail@4nip-polichn.thess.sch.gr</t>
  </si>
  <si>
    <t>ΛΕΩΦΟΡΟΣ ΣΤΡΑΤΟΥ 131</t>
  </si>
  <si>
    <t>9ο ΝΗΠΙΑΓΩΓΕΙΟ ΠΟΛΙΧΝΗΣ</t>
  </si>
  <si>
    <t>mail@9nip-polichn.thess.sch.gr</t>
  </si>
  <si>
    <t>ΑΡΧΗ ΚΗΦΙΣΙΑΣ</t>
  </si>
  <si>
    <t>3ο ΔΗΜΟΤΙΚΟ ΣΧΟΛΕΙΟ ΣΤΑΥΡΟΥΠΟΛΗΣ "ΜΙΚΗΣ ΘΕΟΔΩΡΑΚΗΣ"</t>
  </si>
  <si>
    <t>3dimstavr@sch.gr</t>
  </si>
  <si>
    <t>ΣΤΑΥΡΟΥΠΟΛΗ</t>
  </si>
  <si>
    <t>6ο ΔΗΜΟΤΙΚΟ ΣΧΟΛΕΙΟ ΣΥΚΕΩΝ</t>
  </si>
  <si>
    <t>mail@6dim-sykeon.thess.sch.gr</t>
  </si>
  <si>
    <t>Γ. ΓΕΝΝΗΜΑΤΑ 10</t>
  </si>
  <si>
    <t>4ο ΔΗΜΟΤΙΚΟ ΣΧΟΛΕΙΟ ΜΕΝΕΜΕΝΗΣ</t>
  </si>
  <si>
    <t>mail@4dim-menem.thess.sch.gr</t>
  </si>
  <si>
    <t>ΜΕΝΕΜΕΝΗ</t>
  </si>
  <si>
    <t>ΝΙΚΟΛΑΟΥ ΚΥΡΙΑΚΙΔΗ 1</t>
  </si>
  <si>
    <t>3ο ΝΗΠΙΑΓΩΓΕΙΟ ΠΟΛΙΧΝΗΣ</t>
  </si>
  <si>
    <t>mail@3nip-polichn.thess.sch.gr</t>
  </si>
  <si>
    <t>ΔΙΓΕΝΗ ΚΑΙ ΙΑΣΟΝΙΔΗ</t>
  </si>
  <si>
    <t>7ο ΔΗΜΟΤΙΚΟ ΣΧΟΛΕΙΟ ΕΥΟΣΜΟΥ</t>
  </si>
  <si>
    <t>mail@7dim-evosm.thess.sch.gr</t>
  </si>
  <si>
    <t>ΜΑΚΕΔΟΝΙΑΣ 62</t>
  </si>
  <si>
    <t>ΔΗΜΟΤΙΚΟ ΣΧΟΛΕΙΟ ΛΑΓΚΑΔΙΚΙΩΝ</t>
  </si>
  <si>
    <t>dimlagka@sch.gr</t>
  </si>
  <si>
    <t>ΛΑΓΚΑΔΑ</t>
  </si>
  <si>
    <t>Λαγκαδίκια,</t>
  </si>
  <si>
    <t>ΛΑΓΚΑΔΙΚΙΑ</t>
  </si>
  <si>
    <t>ΔΗΜΟΤΙΚΟ ΣΧΟΛΕΙΟ ΝΕΑΣ ΑΠΟΛΛΩΝΙΑΣ</t>
  </si>
  <si>
    <t>mail@dim-n-apollon.thess.sch.gr</t>
  </si>
  <si>
    <t>ΒΟΛΒΗΣ</t>
  </si>
  <si>
    <t>ΝΕΑ ΑΠΟΛΛΩΝΙΑ</t>
  </si>
  <si>
    <t>1ο ΔΗΜΟΤΙΚΟ ΣΧΟΛΕΙΟ ΠΑΛΑΙΟΚΑΣΤΡΟΥ</t>
  </si>
  <si>
    <t>mail@dim-palaiok.thess.sch.gr</t>
  </si>
  <si>
    <t>ΠΑΛΑΙΟΚΑΣΤΡΟ</t>
  </si>
  <si>
    <t>ΣΤΑΝΙΣΗ 2</t>
  </si>
  <si>
    <t>ΔΗΜΟΤΙΚΟ ΣΧΟΛΕΙΟ ΝΕΑΣ ΦΙΛΑΔΕΛΦΕΙΑΣ</t>
  </si>
  <si>
    <t>mail@dim-n-filad.thess.sch.gr</t>
  </si>
  <si>
    <t>1ο ΔΗΜΟΤΙΚΟ ΣΧΟΛΕΙΟ ΩΡΑΙΟΚΑΣΤΡΟΥ - ΕΥΑΓΟΡΑΣ ΠΑΛΛΗΚΑΡΙΔΗΣ</t>
  </si>
  <si>
    <t>mail@1dim-oraiok.thess.sch.gr</t>
  </si>
  <si>
    <t>1ο ΔΗΜΟΤΙΚΟ ΣΧΟΛΕΙΟ ΠΕΥΚΩΝ</t>
  </si>
  <si>
    <t>dimpefko@sch.gr</t>
  </si>
  <si>
    <t>ΠΕΥΚΑ</t>
  </si>
  <si>
    <t>Λ. ΔΗΜΟΚΡΑΤΙΑΣ 59</t>
  </si>
  <si>
    <t>2ο ΔΗΜΟΤΙΚΟ ΣΧΟΛΕΙΟ ΔΙΑΒΑΤΩΝ</t>
  </si>
  <si>
    <t>mail@2dim-ionias.thess.sch.gr</t>
  </si>
  <si>
    <t>ΔΙΑΒΑΤΑ</t>
  </si>
  <si>
    <t>ΔΗΜΟΤΙΚΟ ΣΧΟΛΕΙΟ ΓΕΡΑΚΑΡΟΥΣ</t>
  </si>
  <si>
    <t>mail@dim-gerak.thess.sch.gr</t>
  </si>
  <si>
    <t>ΓΕΡΑΚΑΡΟΥ</t>
  </si>
  <si>
    <t>ΔΗΜΟΤΙΚΟ ΣΧΟΛΕΙΟ ΚΑΒΑΛΑΡΙΟΥ</t>
  </si>
  <si>
    <t>mail@dim-kaval.thess.sch.gr</t>
  </si>
  <si>
    <t>ΚΑΒΑΛΑΡΙ</t>
  </si>
  <si>
    <t>ΚΑΒΑΛΑΡΙ ΛΑΓΚΑΔΑ</t>
  </si>
  <si>
    <t>13ο ΔΗΜΟΤΙΚΟ ΣΧΟΛΕΙΟ ΣΤΑΥΡΟΥΠΟΛΗΣ</t>
  </si>
  <si>
    <t>mail@13dim-stavr.thess.sch.gr</t>
  </si>
  <si>
    <t>ΜΑΓΝΗΣΙΑΣ 2</t>
  </si>
  <si>
    <t>2ο ΔΗΜΟΤΙΚΟ ΣΧΟΛΕΙΟ ΠΟΛΙΧΝΗΣ</t>
  </si>
  <si>
    <t>mail@2dim-polichn.thess.sch.gr</t>
  </si>
  <si>
    <t>Μετέωρα Πολίχνης</t>
  </si>
  <si>
    <t>ΚΥΡΙΑΚΟΠΟΥΛΟΥ 11</t>
  </si>
  <si>
    <t>2ο ΔΗΜΟΤΙΚΟ ΣΧΟΛΕΙΟ ΚΥΜΙΝΩΝ</t>
  </si>
  <si>
    <t>mail@2dim-kymin.thess.sch.gr</t>
  </si>
  <si>
    <t>Κύμινα</t>
  </si>
  <si>
    <t>25ης ΜΑΡΤΙΟΥ</t>
  </si>
  <si>
    <t>ΝΗΠΙΑΓΩΓΕΙΟ ΠΕΡΙΒΟΛΑΚΙΟΥ</t>
  </si>
  <si>
    <t>mail@nip-periv.thess.sch.gr</t>
  </si>
  <si>
    <t>ΠΕΡΙΒΟΛΑΚΙΟΥ</t>
  </si>
  <si>
    <t>ΠΕΡΙΒΟΛΑΚΙ</t>
  </si>
  <si>
    <t>1ο ΔΗΜΟΤΙΚΟ ΣΧΟΛΕΙΟ ΝΕΑΠΟΛΗΣ ΘΕΣΣΑΛΟΝΙΚΗΣ</t>
  </si>
  <si>
    <t>mail@1dim-neapol.thess.sch.gr</t>
  </si>
  <si>
    <t>ΕΛ. ΒΕΝΙΖΕΛΟΥ 99</t>
  </si>
  <si>
    <t>12ο ΔΗΜΟΤΙΚΟ ΣΧΟΛΕΙΟ ΠΟΛΙΧΝΗΣ</t>
  </si>
  <si>
    <t>mail@12dim-polichn.thess.sch.gr</t>
  </si>
  <si>
    <t>ΠΟΛΙΧΝΗ</t>
  </si>
  <si>
    <t>ΑΡΚΑΔΙΟΥ 35</t>
  </si>
  <si>
    <t>4ο ΔΗΜΟΤΙΚΟ ΣΧΟΛΕΙΟ ΕΛΕΥΘΕΡΙΟΥ-ΚΟΡΔΕΛΙΟΥ</t>
  </si>
  <si>
    <t>mail@4dim-elefth.thess.sch.gr</t>
  </si>
  <si>
    <t>ΕΛΕΥΘΕΡΙΟ-ΚΟΡΔΕΛΙΟ</t>
  </si>
  <si>
    <t>ΦΙΛΙΠΠΟΥ ΦΛΩΡΟΥ &amp; ΚΑΤΣΑΝΤΩΝΗ</t>
  </si>
  <si>
    <t>5ο ΝΗΠΙΑΓΩΓΕΙΟ ΠΟΛΙΧΝΗΣ</t>
  </si>
  <si>
    <t>mail@5nip-polichn.thess.sch.gr</t>
  </si>
  <si>
    <t>1ο ΔΗΜΟΤΙΚΟ ΣΧΟΛΕΙΟ ΣΤΑΥΡΟΥΠΟΛΗΣ</t>
  </si>
  <si>
    <t>mail@1dim-stavr.thess.sch.gr</t>
  </si>
  <si>
    <t>9ο ΔΗΜΟΤΙΚΟ ΣΧΟΛΕΙΟ ΕΥΟΣΜΟΥ</t>
  </si>
  <si>
    <t>mail@9dim-evosm.thess.sch.gr</t>
  </si>
  <si>
    <t>ΠΑΠΑΦΛΕΣΣΑ 18</t>
  </si>
  <si>
    <t>ΝΗΠΙΑΓΩΓΕΙΟ ΒΡΑΧΙΑΣ</t>
  </si>
  <si>
    <t>mail@nip-vrach.thess.sch.gr</t>
  </si>
  <si>
    <t>ΒΡΑΧΙΑΣ</t>
  </si>
  <si>
    <t>ΒΡΑΧΙΑ</t>
  </si>
  <si>
    <t>3ο ΟΛΟΗΜΕΡΟ ΝΗΠΙΑΓΩΓΕΙΟ ΣΥΚΕΩΝ</t>
  </si>
  <si>
    <t>mail@3nip-sykeon.thess.sch.gr</t>
  </si>
  <si>
    <t>8ο ΝΗΠΙΑΓΩΓΕΙΟ ΣΤΑΥΡΟΥΠΟΛΗΣ</t>
  </si>
  <si>
    <t>mail@8nip-stavr.thess.sch.gr</t>
  </si>
  <si>
    <t>ΩΡΑΙΟΚΑΣΤΡΟΥ 139</t>
  </si>
  <si>
    <t>16ο ΔΗΜΟΤΙΚΟ ΣΧΟΛΕΙΟ ΣΤΑΥΡΟΥΠΟΛΗΣ</t>
  </si>
  <si>
    <t>mail@16dim-stavroup.thess.sch.gr</t>
  </si>
  <si>
    <t>ΧΡΥΣΟΣΤΟΜΟΥ ΣΜΥΡΝΗΣ 18</t>
  </si>
  <si>
    <t>8ο ΔΗΜΟΤΙΚΟ ΣΧΟΛΕΙΟ ΑΜΠΕΛΟΚΗΠΩΝ - 9190649</t>
  </si>
  <si>
    <t>mail@8dim-ampel.thess.sch.gr</t>
  </si>
  <si>
    <t>Αμπελόκηποι</t>
  </si>
  <si>
    <t>Δ. Γ. Σκεπάρνη 1Α</t>
  </si>
  <si>
    <t>3ο ΝΗΠΙΑΓΩΓΕΙΟ ΧΑΛΑΣΤΡΑΣ</t>
  </si>
  <si>
    <t>mail@3nip-chalastr.thess.sch.gr</t>
  </si>
  <si>
    <t>ΧΑΛΑΣΤΡΑΣ</t>
  </si>
  <si>
    <t>ΧΑΛΑΣΤΡΑ</t>
  </si>
  <si>
    <t>ΝΗΠΙΑΓΩΓΕΙΟ ΑΔΕΝΔΡΟΥ</t>
  </si>
  <si>
    <t>mail@nip-adendr.thess.sch.gr</t>
  </si>
  <si>
    <t>ΑΔΕΝΔΡΟΥ</t>
  </si>
  <si>
    <t>ΚΟΡΑΗ 1</t>
  </si>
  <si>
    <t>10ο ΝΗΠΙΑΓΩΓΕΙΟ ΣΥΚΕΩΝ</t>
  </si>
  <si>
    <t>mail@10nip-sykeon.thess.sch.gr</t>
  </si>
  <si>
    <t>ΒΙΤΣΙ 17</t>
  </si>
  <si>
    <t>4ο ΝΗΠΙΑΓΩΓΕΙΟ ΣΥΚΕΩΝ</t>
  </si>
  <si>
    <t>mail@4nip-sykeon.thess.sch.gr</t>
  </si>
  <si>
    <t>ΤΕΡΜΑ ΑΓΝΩΣΤΟΥ ΣΤΡΑΤΙΩΤΟΥ KAI ΞΥΛΟΥΡΗ 1</t>
  </si>
  <si>
    <t>12ο ΝΗΠΙΑΓΩΓΕΙΟ ΠΟΛΙΧΝΗΣ</t>
  </si>
  <si>
    <t>mail@12nip-polichn.thess.sch.gr</t>
  </si>
  <si>
    <t>ΑΓΙΟΥ ΣΤΥΛΙΑΝΟΥ 6</t>
  </si>
  <si>
    <t>7ο ΝΗΠΙΑΓΩΓΕΙΟ ΣΥΚΕΩΝ</t>
  </si>
  <si>
    <t>mail@7nip-sykeon.thess.sch.gr</t>
  </si>
  <si>
    <t>ΚΑΡΑΒΑΓΓΕΛΗ - ΑΝΩΝΥΜΟΥ 1</t>
  </si>
  <si>
    <t>9ο ΔΗΜΟΤΙΚΟ ΣΧΟΛΕΙΟ ΣΤΑΥΡΟΥΠΟΛΗΣ</t>
  </si>
  <si>
    <t>mail@9dim-stavr.thess.sch.gr</t>
  </si>
  <si>
    <t>ΧΑΝΙ ΓΡΑΒΙΑΣ 1</t>
  </si>
  <si>
    <t>7ο ΝΗΠΙΑΓΩΓΕΙΟ ΠΟΛΙΧΝΗΣ</t>
  </si>
  <si>
    <t>mail@7nip-polichn.thess.sch.gr</t>
  </si>
  <si>
    <t>ΚΟΡΙΝΘΟΥ ΜΕ ΣΤΑΥΡΟΥΠΟΛΕΩΣ- ΣΤΡΑΤΟΠΕΔΟ ΠΑΥΛΟΥ ΜΕΛΑ</t>
  </si>
  <si>
    <t>3ο ΔΗΜΟΤΙΚΟ ΣΧΟΛΕΙΟ ΩΡΑΙΟΚΑΣΤΡΟΥ</t>
  </si>
  <si>
    <t>mail@3dim-oraiok.thess.sch.gr</t>
  </si>
  <si>
    <t>ΝΕΣΤΟΥ 32</t>
  </si>
  <si>
    <t>8ο ΝΗΠΙΑΓΩΓΕΙΟ ΠΟΛΙΧΝΗΣ</t>
  </si>
  <si>
    <t>mail@8nip-polichn.thess.sch.gr</t>
  </si>
  <si>
    <t>Γ.ΠΑΠΑΪΩΑΝΝΟΥ - Ε.ΣΠΥΡΟΠΟΥΛΟΥ</t>
  </si>
  <si>
    <t>11ο ΝΗΠΙΑΓΩΓΕΙΟ ΝΕΑΠΟΛΗΣ</t>
  </si>
  <si>
    <t>11nipneap@sch.gr</t>
  </si>
  <si>
    <t>ΝΕΑΠΟΛΗΣ</t>
  </si>
  <si>
    <t>ΠΡ. ΣΤΡΑΤΟΠΕΔΟ ΣΤΡΕΜΠΕΝΙΩΤΗ</t>
  </si>
  <si>
    <t>8ο ΝΗΠΙΑΓΩΓΕΙΟ ΝΕΑΠΟΛΗΣ</t>
  </si>
  <si>
    <t>mail@8nip-neapol.thess.sch.gr</t>
  </si>
  <si>
    <t>ΔΗΜ. ΓΛΗΝΟΥ &amp; ΕΛ. ΒΕΝΙΖΕΛΟΥ</t>
  </si>
  <si>
    <t>ΔΗΜΟΤΙΚΟ ΣΧΟΛΕΙΟ ΚΟΛΧΙΚΟΥ</t>
  </si>
  <si>
    <t>mail@dim-kolch.thess.sch.gr</t>
  </si>
  <si>
    <t>ΚΟΛΧΙΚΟ</t>
  </si>
  <si>
    <t>ΔΗΜΟΤΙΚΟ ΣΧΟΛΕΙΟ ΝΕΑΣ ΜΕΣΗΜΒΡΙΑΣ</t>
  </si>
  <si>
    <t>mail@dim-n-mesimvr.thess.sch.gr</t>
  </si>
  <si>
    <t>ΜΑΥΡ.ΜΑΥΡΟΥΔΗ 18</t>
  </si>
  <si>
    <t>ΝΗΠΙΑΓΩΓΕΙΟ ΔΡΥΜΟΥ ΘΕΣΣΑΛΟΝΙΚΗΣ</t>
  </si>
  <si>
    <t>mail@nip-drymou.thess.sch.gr</t>
  </si>
  <si>
    <t>ΔΡΥΜΟΥ</t>
  </si>
  <si>
    <t>ΔΡΥΜΟΣ</t>
  </si>
  <si>
    <t>ΔΗΜΟΤΙΚΟ ΣΧΟΛΕΙΟ ΝΕΟΧΩΡΟΥΔΑΣ</t>
  </si>
  <si>
    <t>mail@dim-neoch.thess.sch.gr</t>
  </si>
  <si>
    <t>ΝΕΟΧΩΡΟΥΔΑ</t>
  </si>
  <si>
    <t>2ο ΔΗΜΟΤΙΚΟ ΣΧΟΛΕΙΟ ΑΓΙΟΥ ΠΑΥΛΟΥ</t>
  </si>
  <si>
    <t>mail@2dim-ag-pavl.thess.sch.gr</t>
  </si>
  <si>
    <t>ΕΥΑΓΓΕΛΙΣΤΡΙΑ, ΘΕΣΣΑΛΟΝΙΚΗ,</t>
  </si>
  <si>
    <t>ΤΕΡΜΑ ΥΔΡΑΓΩΓΕΙΟΥ</t>
  </si>
  <si>
    <t>4ο ΔΗΜΟΤΙΚΟ ΣΧΟΛΕΙΟ ΣΥΚΕΩΝ</t>
  </si>
  <si>
    <t>mail@4dim-sykeon.thess.sch.gr</t>
  </si>
  <si>
    <t>Συκιές</t>
  </si>
  <si>
    <t>ΠΟΝΤΟΥ ΚΑΙ ΚΟΜΝΗΝΩΝ</t>
  </si>
  <si>
    <t>ΔΗΜΟΤΙΚΟ ΣΧΟΛΕΙΟ ΑΔΕΝΔΡΟΥ</t>
  </si>
  <si>
    <t>mail@dim-adendr.thess.sch.gr</t>
  </si>
  <si>
    <t>ΑΔΕΝΔΡΟ</t>
  </si>
  <si>
    <t>19ο ΔΗΜΟΤΙΚΟ ΣΧΟΛΕΙΟ ΕΥΟΣΜΟΥ</t>
  </si>
  <si>
    <t>mail@19dim-evosm.thess.sch.gr</t>
  </si>
  <si>
    <t>ΚΑΖΑΝΤΖΑΚΗ 43</t>
  </si>
  <si>
    <t>2ο ΝΗΠΙΑΓΩΓΕΙΟ ΛΑΓΚΑΔΑ</t>
  </si>
  <si>
    <t>mail@2nip-lagkad.thess.sch.gr</t>
  </si>
  <si>
    <t>ΛΟΥΤΡΩΝ 18</t>
  </si>
  <si>
    <t>2ο ΝΗΠΙΑΓΩΓΕΙΟ ΑΓΙΟΥ ΠΑΥΛΟΥ ΘΕΣΣΑΛΟΝΙΚΗΣ</t>
  </si>
  <si>
    <t>mail@2nip-ag-pavl.thess.sch.gr</t>
  </si>
  <si>
    <t>ΑΓ. ΠΑΥΛΟΥ ΘΕΣΣΑΛΟΝΙΚΗ</t>
  </si>
  <si>
    <t>3ο ΝΗΠΙΑΓΩΓΕΙΟ ΑΓΙΟΥ  ΠΑΥΛΟΥ</t>
  </si>
  <si>
    <t>mail@3nip-ag-pavl.thess.sch.gr</t>
  </si>
  <si>
    <t>ΑΓ. ΠΑΥΛΟΥ ΘΕΣΣΑΛΟΝΙΚΗΣ</t>
  </si>
  <si>
    <t>ΚΑΒΑΛΑΣ 7</t>
  </si>
  <si>
    <t>15ο ΝΗΠΙΑΓΩΓΕΙΟ ΑΜΠΕΛΟΚΗΠΩΝ</t>
  </si>
  <si>
    <t>15nipamp@sch.gr</t>
  </si>
  <si>
    <t>ΜΕΝΕΛΑΟΥ 3</t>
  </si>
  <si>
    <t>2ο ΔΗΜΟΤΙΚΟ ΣΧΟΛΕΙΟ ΕΥΚΑΡΠΙΑΣ</t>
  </si>
  <si>
    <t>mail@2dim-efkarp.thess.sch.gr</t>
  </si>
  <si>
    <t>ΠΑΠΑΝΑΣΤΑΣΙΟΥ 1</t>
  </si>
  <si>
    <t>8ο ΔΗΜΟΤΙΚΟ ΣΧΟΛΕΙΟ ΕΛΕΥΘΕΡΙΟΥ-ΚΟΡΔΕΛΙΟΥ</t>
  </si>
  <si>
    <t>mail@8dim-elefth.thess.sch.gr</t>
  </si>
  <si>
    <t>ΚΡΗΤΗΣ ΚΑΙ ΚΥΠΡΟΥ ΓΩΝΙΑ 14</t>
  </si>
  <si>
    <t>6ο ΝΗΠΙΑΓΩΓΕΙΟ ΠΟΛΙΧΝΗΣ</t>
  </si>
  <si>
    <t>mail@6nip-polichn.thess.sch.gr</t>
  </si>
  <si>
    <t>ΑΡΧΗ ΚΗΦΙΣΙΑΣ - ΟΠΙΣΘΕΝ ΓΥΜΝΑΣΙΟΥ ΜΕΤΕΩΡΩΝ</t>
  </si>
  <si>
    <t>5ο ΔΙΑΠΟΛΙΤΙΣΜΙΚΟ ΔΗΜΟΤΙΚΟ ΣΧΟΛΕΙΟ ΜΕΝΕΜΕΝΗΣ</t>
  </si>
  <si>
    <t>mail@5dim-menem.thess.sch.gr</t>
  </si>
  <si>
    <t xml:space="preserve">ΜΕΝΕΜΕΝΗ </t>
  </si>
  <si>
    <t>ΜΕΓΑΛΟΥ ΑΛΕΞΑΝΔΡΟΥ &amp; ΑΓΙΟΥ ΝΕΚΤΑΡΙΟΥ 1</t>
  </si>
  <si>
    <t>8ο ΔΗΜΟΤΙΚΟ ΣΧΟΛΕΙΟ ΣΤΑΥΡΟΥΠΟΛΗΣ</t>
  </si>
  <si>
    <t>mail@8dim-stavroup.thess.sch.gr</t>
  </si>
  <si>
    <t>ΩΡΑΙΟΚΑΣΤΡΟΥ 139       ΣΤΑΥΡΟΥΠΟΛΗ</t>
  </si>
  <si>
    <t>ΔΗΜΟΤΙΚΟ ΣΧΟΛΕΙΟ ΣΟΧΟΥ</t>
  </si>
  <si>
    <t>mail@dim-sochou.thess.sch.gr</t>
  </si>
  <si>
    <t>ΣΟΧΟΣ</t>
  </si>
  <si>
    <t>ΣΤ. ΠΑΠΑΖΗ 32</t>
  </si>
  <si>
    <t>1ο ΝΗΠΙΑΓΩΓΕΙΟ ΣΥΚΕΩΝ</t>
  </si>
  <si>
    <t>mail@1nip-sykeon.thess.sch.gr</t>
  </si>
  <si>
    <t>ΑΛΕΞΑΝΔΡΟΥ ΠΑΠΑΝΑΣΤΑΣΙΟΥ 24</t>
  </si>
  <si>
    <t>9/Θ ΔΗΜΟΤΙΚΟ ΣΧΟΛΕΙΟ ΑΣΠΡΟΒΑΛΤΑΣ</t>
  </si>
  <si>
    <t>mail@dim-asprov.thess.sch.gr</t>
  </si>
  <si>
    <t>ΑΣΠΡΟΒΑΛΤΑ</t>
  </si>
  <si>
    <t>2ο ΔΗΜΟΤΙΚΟ ΣΧΟΛΕΙΟ ΣΤΑΥΡΟΥΠΟΛΗΣ</t>
  </si>
  <si>
    <t>mail@2dim-stavroup.thess.sch.gr</t>
  </si>
  <si>
    <t>Δ. ΦΛΕΜΙΓΚ 41</t>
  </si>
  <si>
    <t>7ο ΝΗΠΙΑΓΩΓΕΙΟ ΝΕΑΠΟΛΗΣ</t>
  </si>
  <si>
    <t>mail@7nip-neapol.thess.sch.gr</t>
  </si>
  <si>
    <t>Κωνσταντίνου Κραμανλή 31</t>
  </si>
  <si>
    <t>5ο ΔΗΜΟΤΙΚΟ ΣΧΟΛΕΙΟ ΣΥΚΕΩΝ</t>
  </si>
  <si>
    <t>5dimsyke@sch.gr</t>
  </si>
  <si>
    <t>ΣΥΚΙΕΣ</t>
  </si>
  <si>
    <t>ΖΑΧΑΡΙΑ ΓΟΥΝΑΡΙΔΗ - ΜΕΛΙΝΑΣ ΜΕΡΚΟΥΡΗ</t>
  </si>
  <si>
    <t>8ο ΝΗΠΙΑΓΩΓΕΙΟ ΣΥΚΕΩΝ</t>
  </si>
  <si>
    <t>mail@8nip-sykeon.thess.sch.gr</t>
  </si>
  <si>
    <t>Σπάρτακου 14</t>
  </si>
  <si>
    <t>ΝΗΠΙΑΓΩΓΕΙΟ ΑΣΣΗΡΟΥ</t>
  </si>
  <si>
    <t>mail@nip-assir.thess.sch.gr</t>
  </si>
  <si>
    <t>ΑΣΣΗΡΟΥ</t>
  </si>
  <si>
    <t>ΑΣΣΗΡΟΣ</t>
  </si>
  <si>
    <t>ΝΗΠΙΑΓΩΓΕΙΟ ΠΡΟΦΗΤΗ-ΕΓΝΑΤΙΑΣ</t>
  </si>
  <si>
    <t>mail@nip-profit.thess.sch.gr</t>
  </si>
  <si>
    <t>ΠΡΟΦΗΤΗΣ</t>
  </si>
  <si>
    <t>ΝΗΠΙΑΓΩΓΕΙΟ ΝΕΩΝ ΒΡΑΣΝΩΝ</t>
  </si>
  <si>
    <t>mail@nip-n-vrasn.thess.sch.gr</t>
  </si>
  <si>
    <t>ΝΕΩΝ ΒΡΑΣΝΩΝ</t>
  </si>
  <si>
    <t>ΝΕΑ ΒΡΑΣΝΑ</t>
  </si>
  <si>
    <t>2ο ΔΗΜΟΤΙΚΟ ΣΧΟΛΕΙΟ ΠΕΥΚΩΝ</t>
  </si>
  <si>
    <t>mail@2dim-pefkon.thess.sch.gr</t>
  </si>
  <si>
    <t>ΤΡΙΩΝ ΙΕΡΑΡΧΩΝ 5</t>
  </si>
  <si>
    <t>1ο ΝΗΠΙΑΓΩΓΕΙΟ ΛΗΤΗΣ</t>
  </si>
  <si>
    <t>mail@nip-litis.thess.sch.gr</t>
  </si>
  <si>
    <t>ΛΗΤΗΣ</t>
  </si>
  <si>
    <t>ΑΓΙΟΥ ΑΘΑΝΑΣΙΟΥ 15</t>
  </si>
  <si>
    <t>3ο ΝΗΠΙΑΓΩΓΕΙΟ ΛΑΓΚΑΔΑ</t>
  </si>
  <si>
    <t>mail@3nip-lagkad.thess.sch.gr</t>
  </si>
  <si>
    <t>ΚΑΣΣΑΝΔΡΟΥ 37</t>
  </si>
  <si>
    <t>ΝΗΠΙΑΓΩΓΕΙΟ ΚΟΛΧΙΚΟΥ</t>
  </si>
  <si>
    <t>mail@nip-kolch.thess.sch.gr</t>
  </si>
  <si>
    <t>ΚΟΛΧΙΚΟΥ</t>
  </si>
  <si>
    <t>9ο ΝΗΠΙΑΓΩΓΕΙΟ ΣΥΚΕΩΝ</t>
  </si>
  <si>
    <t>mail@9nip-sykeon.thess.sch.gr</t>
  </si>
  <si>
    <t>ΚΟΜΝΗΝΩΝ - ΠΟΝΤΟΥ 17</t>
  </si>
  <si>
    <t>1ο ΝΗΠΙΑΓΩΓΕΙΟ ΓΕΦΥΡΑΣ</t>
  </si>
  <si>
    <t>mail@nip-gefyr.thess.sch.gr</t>
  </si>
  <si>
    <t>ΓΕΦΥΡΑΣ</t>
  </si>
  <si>
    <t>ΜΕΓΑΛΟΥ ΑΛΕΞΑΝΔΡΟΥ ΚΑΙ ΔΗΜΟΚΡΑΤΙΑΣ ΓΕΦΥΡΑ ΘΕΣΣΑΛΟΝΙΚΗΣ</t>
  </si>
  <si>
    <t>6ο ΔΗΜΟΤΙΚΟ ΣΧΟΛΕΙΟ ΠΟΛΙΧΝΗΣ</t>
  </si>
  <si>
    <t>mail@6dim-polichn.thess.sch.gr</t>
  </si>
  <si>
    <t>ΤΕΡΜΑ ΚΗΦΙΣΙΑΣ</t>
  </si>
  <si>
    <t>1ο ΔΗΜΟΤΙΚΟ ΣΧΟΛΕΙΟ ΧΑΛΑΣΤΡΑΣ</t>
  </si>
  <si>
    <t>mail@1dim-chalastr.thess.sch.gr</t>
  </si>
  <si>
    <t>Μ. ΑΛΕΞΑΝΔΡΟΥ  51</t>
  </si>
  <si>
    <t>1ο ΔΗΜΟΤΙΚΟ ΣΧΟΛΕΙΟ ΕΛΕΥΘΕΡΙΟΥ-ΚΟΡΔΕΛΙΟΥ</t>
  </si>
  <si>
    <t>mail@1dim-elefth.thess.sch.gr</t>
  </si>
  <si>
    <t>ΑΝΔΡΕΑ ΠΑΠΑΝΔΡΕΟΥ 16</t>
  </si>
  <si>
    <t>1ο ΝΗΠΙΑΓΩΓΕΙΟ ΚΟΥΦΑΛΙΩΝ</t>
  </si>
  <si>
    <t>mail@1nip-koufal.thess.sch.gr</t>
  </si>
  <si>
    <t>ΚΟΥΦΑΛΙΩΝ</t>
  </si>
  <si>
    <t>ΑΓΙΟΥ ΑΘΑΝΑΣΙΟΥ 61</t>
  </si>
  <si>
    <t>ΔΗΜΟΤΙΚΟ ΣΧΟΛΕΙΟ ΠΡΟΦΗΤΗ - ΕΓΝΑΤΙΑΣ</t>
  </si>
  <si>
    <t>mail@dim-profit.thess.sch.gr</t>
  </si>
  <si>
    <t>2ο ΝΗΠΙΑΓΩΓΕΙΟ ΧΑΛΑΣΤΡΑΣ</t>
  </si>
  <si>
    <t>mail@2nip-chalastr.thess.sch.gr</t>
  </si>
  <si>
    <t>ΚΑΜΠΑΝΙΑΣ 65</t>
  </si>
  <si>
    <t>7ο ΔΗΜΟΤΙΚΟ ΣΧΟΛΕΙΟ ΑΜΠΕΛΟΚΗΠΩΝ</t>
  </si>
  <si>
    <t>mail@7dim-ampel.thess.sch.gr</t>
  </si>
  <si>
    <t>ΜΑΡΑΘΩΝΟΣ 17</t>
  </si>
  <si>
    <t>6ο ΠΕΙΡΑΜΑΤΙΚΟ ΔΙΑΠΟΛΙΤΙΣΜΙΚΟ ΔΗΜΟΤΙΚΟ ΣΧΟΛΕΙΟ ΕΛΕΥΘΕΡΙΟΥ-ΚΟΡΔΕΛΙΟΥ</t>
  </si>
  <si>
    <t>mail@6dim-diap-elefth.thess.sch.gr</t>
  </si>
  <si>
    <t>1ο ΝΗΠΙΑΓΩΓΕΙΟ ΛΑΓΚΑΔΑ</t>
  </si>
  <si>
    <t>mail@1nip-lagkad.thess.sch.gr</t>
  </si>
  <si>
    <t>ΜΕΓΑΛΟΥ ΑΛΕΞΑΝΔΡΟΥ 24</t>
  </si>
  <si>
    <t>8ο ΔΗΜΟΤΙΚΟ ΣΧΟΛΕΙΟ ΝΕΑΠΟΛΗΣ</t>
  </si>
  <si>
    <t>mail@8dim-neapol.thess.sch.gr</t>
  </si>
  <si>
    <t>ΝΕΑΠΟΛΗ ΘΕΣΣΑΛΟΝΙΚΗΣ</t>
  </si>
  <si>
    <t>ΠΡΩΗΝ ΣΤΡΑΤΟΠΕΔΟ ΣΤΡΕΜΠΕΝΙΩΤΗ</t>
  </si>
  <si>
    <t>2ο ΔΗΜΟΤΙΚΟ ΣΧΟΛΕΙΟ ΚΑΛΟΧΩΡΙΟΥ</t>
  </si>
  <si>
    <t>mail@2dim-kaloch.thess.sch.gr</t>
  </si>
  <si>
    <t>ΚΑΛΟΧΩΡΙ</t>
  </si>
  <si>
    <t>ΜΙΛΤΙΑΔΟΥ 1</t>
  </si>
  <si>
    <t>5ο ΔΗΜΟΤΙΚΟ ΣΧΟΛΕΙΟ ΑΜΠΕΛΟΚΗΠΩΝ</t>
  </si>
  <si>
    <t>mail@5dim-ampel.thess.sch.gr</t>
  </si>
  <si>
    <t>ΤΕΡΜΑ ΦΙΛΙΠΠΟΥΠΟΛΕΩΣ</t>
  </si>
  <si>
    <t>2ο 12/Θ ΔΗΜΟΤΙΚΟ ΣΧΟΛΕΙΟ ΕΥΟΣΜΟΥ</t>
  </si>
  <si>
    <t>mail@2dim-evosm.thess.sch.gr</t>
  </si>
  <si>
    <t>ΦΙΛΙΠΠΟΥ ΚΑΙ ΜΑΙΑΝΔΡΟΥ 2</t>
  </si>
  <si>
    <t>1ο ΔΗΜΟΤΙΚΟ ΣΧΟΛΕΙΟ ΛΑΓΚΑΔΑ</t>
  </si>
  <si>
    <t>mail@1dim-lagkad.thess.sch.gr</t>
  </si>
  <si>
    <t>ΛΑΓΚΑΔΑΣ</t>
  </si>
  <si>
    <t>Μ. ΑΛΕΞΑΝΔΡΟΥ 24</t>
  </si>
  <si>
    <t>2ο ΝΗΠΙΑΓΩΓΕΙΟ ΜΕΝΕΜΕΝΗΣ</t>
  </si>
  <si>
    <t>mail@2nip-menem.thess.sch.gr</t>
  </si>
  <si>
    <t>ΜΕΝΕΜΕΝΗΣ</t>
  </si>
  <si>
    <t>ΤΕΡΜΑ ΙΚΑΡΟΥ-ΑΓ. ΝΕΚΤΑΡΙΟΣ</t>
  </si>
  <si>
    <t>3ο ΝΗΠΙΑΓΩΓΕΙΟ ΜΕΝΕΜΕΝΗΣ</t>
  </si>
  <si>
    <t>mail@3nip-menem.thess.sch.gr</t>
  </si>
  <si>
    <t>ΚΟΥΝΤΟΥΡΙΩΤΟΥ 42</t>
  </si>
  <si>
    <t>ΔΗΜΟΤΙΚΟ ΣΧΟΛΕΙΟ ΞΥΛΟΠΟΛΗΣ</t>
  </si>
  <si>
    <t>mail@dim-xyloup.thess.sch.gr</t>
  </si>
  <si>
    <t>ΞΥΛΟΠΟΛΗ</t>
  </si>
  <si>
    <t>14ο ΔΗΜΟΤΙΚΟ ΣΧΟΛΕΙΟ ΠΟΛΙΧΝΗΣ</t>
  </si>
  <si>
    <t>mail@14dim-polichn.thess.sch.gr</t>
  </si>
  <si>
    <t>ΣΤΡΑΤΟΠΕΔΟ ΠΑΥΛΟΥ ΜΕΛΑ</t>
  </si>
  <si>
    <t>ΔΗΜΟΤΙΚΟ ΣΧΟΛΕΙΟ ΔΡΥΜΟΥ ΘΕΣΣΑΛΟΝΙΚΗΣ</t>
  </si>
  <si>
    <t>mail@dim-drymou.thess.sch.gr</t>
  </si>
  <si>
    <t>4ο ΝΗΠΙΑΓΩΓΕΙΟ ΜΕΝΕΜΕΝΗΣ</t>
  </si>
  <si>
    <t>mail@4nip-menem.thess.sch.gr</t>
  </si>
  <si>
    <t>ΓΕΩΡ. ΚΥΡΙΜΗ 18</t>
  </si>
  <si>
    <t>ΔΗΜΟΤΙΚΟ ΣΧΟΛΕΙΟ ΖΑΓΚΛΙΒΕΡΙΟΥ</t>
  </si>
  <si>
    <t>mail@dim-zagliv.thess.sch.gr</t>
  </si>
  <si>
    <t>Ζαγκλιβέρι Θεσσαλονίκης</t>
  </si>
  <si>
    <t>ΖΑΓΚΛΙΒΕΡΙ</t>
  </si>
  <si>
    <t>ΔΗΜΟΤΙΚΟ ΣΧΟΛΕΙΟ ΑΡΕΘΟΥΣΑΣ</t>
  </si>
  <si>
    <t>mail@dim-areth.thess.sch.gr</t>
  </si>
  <si>
    <t>ΑΡΕΘΟΥΣΑ</t>
  </si>
  <si>
    <t>1ο ΝΗΠΙΑΓΩΓΕΙΟ ΠΑΛΑΙΟΚΑΣΤΡΟΥ</t>
  </si>
  <si>
    <t>mail@nip-palaiok.thess.sch.gr</t>
  </si>
  <si>
    <t>ΠΑΛΑΙΟΚΑΣΤΡΟΥ</t>
  </si>
  <si>
    <t>ΠΥΘΑΓΟΡΑ 12</t>
  </si>
  <si>
    <t>3ο ΔΗΜΟΤΙΚΟ ΣΧΟΛΕΙΟ ΣΙΝΔΟΥ</t>
  </si>
  <si>
    <t>mail@3dim-sindou.thess.sch.gr</t>
  </si>
  <si>
    <t>ΕΙΚΟΣΤΗΣ ΟΓΔΟΗΣ ΟΚΤΩΒΡΙΟΥ 1</t>
  </si>
  <si>
    <t>ΔΗΜΟΤΙΚΟ ΣΧΟΛΕΙΟ ΛΑΓΥΝΩΝ</t>
  </si>
  <si>
    <t>mail@dim-lagin.thess.sch.gr</t>
  </si>
  <si>
    <t>ΛΑΓΥΝΑ</t>
  </si>
  <si>
    <t>2ο  ΔΗΜΟΤΙΚΟ ΣΧΟΛΕΙΟ ΑΓΙΟΥ ΑΘΑΝΑΣΙΟΥ</t>
  </si>
  <si>
    <t>mail@2dim-ag-athan.thess.sch.gr</t>
  </si>
  <si>
    <t>ΑΓΙΟΥ ΑΘΑΝΑΣΙΟΥ</t>
  </si>
  <si>
    <t>ΠΕΤΡΟΥ ΛΕΒΑΝΤΗ 5</t>
  </si>
  <si>
    <t>4ο ΔΗΜΟΤΙΚΟ ΣΧΟΛΕΙΟ ΣΤΑΥΡΟΥΠΟΛΗΣ</t>
  </si>
  <si>
    <t>mail@4dim-stavr.thess.sch.gr</t>
  </si>
  <si>
    <t>7ο ΔΗΜΟΤΙΚΟ ΣΧΟΛΕΙΟ ΕΛΕΥΘΕΡΙΟΥ-ΚΟΡΔΕΛΙΟΥ</t>
  </si>
  <si>
    <t>mail@7dim-elefth.thess.sch.gr</t>
  </si>
  <si>
    <t>ΜΕΛΙΝΑΣ ΜΕΡΚΟΥΡΗ 30</t>
  </si>
  <si>
    <t>1ο ΝΗΠΙΑΓΩΓΕΙΟ ΠΟΛΙΧΝΗΣ</t>
  </si>
  <si>
    <t>mail@1nip-polichn.thess.sch.gr</t>
  </si>
  <si>
    <t>ΣΧΟΛΕΙΟΥ 1, ΠΟΛΙΧΝΗ</t>
  </si>
  <si>
    <t>6ο ΔΗΜΟΤΙΚΟ ΣΧΟΛΕΙΟ ΣΤΑΥΡΟΥΠΟΛΗΣ</t>
  </si>
  <si>
    <t>mail@6dim-stavroup.thess.sch.gr</t>
  </si>
  <si>
    <t>Σταυρούπολη</t>
  </si>
  <si>
    <t>ΑΓ. ΛΑΥΡΑΣ ΚΑΙ ΣΟΥΛΙΟΥ 32</t>
  </si>
  <si>
    <t>1ο ΝΗΠΙΑΓΩΓΕΙΟ ΜΕΛΙΣΣΟΧΩΡΙΟΥ</t>
  </si>
  <si>
    <t>mail@nip-meliss.thess.sch.gr</t>
  </si>
  <si>
    <t>ΜΕΛΙΣΣΟΧΩΡΙΟΥ</t>
  </si>
  <si>
    <t>ΠΑΛΙΟ ΓΗΠΕΔΟ ΜΠΑΣΚΕΤ</t>
  </si>
  <si>
    <t>1ο ΔΗΜΟΤΙΚΟ ΣΧΟΛΕΙΟ ΣΥΚΕΩΝ</t>
  </si>
  <si>
    <t>1dimsyke@sch.gr</t>
  </si>
  <si>
    <t>Ζ.ΓΟΥΝΑΡΙΔΗ-Μ.ΜΕΡΚΟΥΡΗ</t>
  </si>
  <si>
    <t>1ο ΔΗΜΟΤΙΚΟ ΣΧΟΛΕΙΟ ΕΥΟΣΜΟΥ</t>
  </si>
  <si>
    <t>mail@1dim-evosm.thess.sch.gr</t>
  </si>
  <si>
    <t>28ης ΟΚΤΩΒΡΙΟΥ 13</t>
  </si>
  <si>
    <t>6ο ΔΗΜΟΤΙΚΟ ΣΧΟΛΕΙΟ ΜΕΝΕΜΕΝΗΣ 9520671</t>
  </si>
  <si>
    <t>mail@6dim-menem.thess.sch.gr</t>
  </si>
  <si>
    <t>ΜΟΥΤΑΦΗ 4</t>
  </si>
  <si>
    <t>2ο ΔΗΜΟΤΙΚΟ ΣΧΟΛΕΙΟ ΜΕΝΕΜΕΝΗΣ</t>
  </si>
  <si>
    <t>mail@2dim-menem.thess.sch.gr</t>
  </si>
  <si>
    <t>Ν. ΚΥΡΙΑΚΙΔΗ 1</t>
  </si>
  <si>
    <t>ΔΗΜΟΤΙΚΟ ΣΧΟΛΕΙΟ ΝΕΑΣ ΜΑΔΥΤΟΥ</t>
  </si>
  <si>
    <t>mail@dim-n-madyt.thess.sch.gr</t>
  </si>
  <si>
    <t>ΝΕΑ ΜΑΔΥΤΟΣ</t>
  </si>
  <si>
    <t>ΔΗΜΟΤΙΚΟ ΣΧΟΛΕΙΟ ΑΣΣΗΡΟΥ</t>
  </si>
  <si>
    <t>mail@dim-assir.thess.sch.gr</t>
  </si>
  <si>
    <t>ΜΑΚΕΔΟΝΙΑΣ 1</t>
  </si>
  <si>
    <t>ΔΗΜΟΤΙΚΟ ΣΧΟΛΕΙΟ ΠΕΡΙΒΟΛΑΚΙΟΥ</t>
  </si>
  <si>
    <t>mail@dim-periv.thess.sch.gr</t>
  </si>
  <si>
    <t>ΔΗΜΟΤΙΚΟ ΣΧΟΛΕΙΟ ΝΕΩΝ ΒΡΑΣΝΩΝ</t>
  </si>
  <si>
    <t>mail@dim-n-vrasn.thess.sch.gr</t>
  </si>
  <si>
    <t>ΕΒΔΟΜΗ ΠΑΡΑΛΙΑΚΗ 52</t>
  </si>
  <si>
    <t>1ο ΔΗΜΟΤΙΚΟ ΣΧΟΛΕΙΟ ΠΑΡΑΛΙΑΣ ΣΤΑΥΡΟΥ</t>
  </si>
  <si>
    <t>mail@1dim-paral.thess.sch.gr</t>
  </si>
  <si>
    <t>ΣΤΑΥΡΟΣ</t>
  </si>
  <si>
    <t>ΠΑΠΑΓΟΥ 13</t>
  </si>
  <si>
    <t>ΔΗΜΟΤΙΚΟ ΣΧΟΛΕΙΟ ΧΡΥΣΑΥΓΗΣ</t>
  </si>
  <si>
    <t>mail@dim-chrys.thess.sch.gr</t>
  </si>
  <si>
    <t>Χρυσαυγή</t>
  </si>
  <si>
    <t>ΧΡΥΣΑΥΓΗ</t>
  </si>
  <si>
    <t>ΔΗΜΟΤΙΚΟ ΣΧΟΛΕΙΟ ΛΗΤΗΣ</t>
  </si>
  <si>
    <t>mail@dim-litis.thess.sch.gr</t>
  </si>
  <si>
    <t>ΛΗΤΗ</t>
  </si>
  <si>
    <t>ΟΔΟΣ ΣΧΟΛΕΙΟΥ 1</t>
  </si>
  <si>
    <t>1ο ΔΗΜΟΤΙΚΟ ΣΧΟΛΕΙΟ ΝΕΑΣ ΜΑΓΝΗΣΙΑΣ</t>
  </si>
  <si>
    <t>3dimnion@sch.gr</t>
  </si>
  <si>
    <t>ΝΕΑ ΜΑΓΝΗΣΙΑ</t>
  </si>
  <si>
    <t>Β. ΓΕΩΡΓΙΟΥ 29</t>
  </si>
  <si>
    <t>3ο ΔΗΜΟΤΙΚΟ ΣΧΟΛΕΙΟ ΛΑΓΚΑΔΑ</t>
  </si>
  <si>
    <t>mail@3dim-lagad.thess.sch.gr</t>
  </si>
  <si>
    <t>7ο ΔΗΜΟΤΙΚΟ ΣΧΟΛΕΙΟ ΣΤΑΥΡΟΥΠΟΛΗΣ</t>
  </si>
  <si>
    <t>mail@7dim-stavroup.thess.sch.gr</t>
  </si>
  <si>
    <t>ΕΥΡΙΠΙΔΗ 1</t>
  </si>
  <si>
    <t>ΔΗΜΟΤΙΚΟ ΣΧΟΛΕΙΟ ΜΕΛΙΣΣΟΧΩΡΙΟΥ ΘΕΣΣΑΛΟΝΙΚΗΣ</t>
  </si>
  <si>
    <t>mail@dim-meliss.thess.sch.gr</t>
  </si>
  <si>
    <t>ΚΙΛΚΙΣ 9</t>
  </si>
  <si>
    <t>2ο ΔΗΜΟΤΙΚΟ ΣΧΟΛΕΙΟ ΠΑΡΑΛΙΑΣ ΣΤΑΥΡΟΥ</t>
  </si>
  <si>
    <t>mail@2dim-paral.thess.sch.gr</t>
  </si>
  <si>
    <t>Σταυρός</t>
  </si>
  <si>
    <t>Γ. Γεννηματά 6</t>
  </si>
  <si>
    <t>2ο ΔΗΜΟΤΙΚΟ ΣΧΟΛΕΙΟ ΕΛΕΥΘΕΡΙΟΥ-ΚΟΡΔΕΛΙΟΥ</t>
  </si>
  <si>
    <t>2dimelf@sch.gr</t>
  </si>
  <si>
    <t>Ελευθέριο - Κορδελιό</t>
  </si>
  <si>
    <t>ΜΑΚΕΔΟΝΟΜΑΧΩΝ 7</t>
  </si>
  <si>
    <t>1ο ΝΗΠΙΑΓΩΓΕΙΟ ΠΕΥΚΩΝ</t>
  </si>
  <si>
    <t>mail@1nip-pefkon.thess.sch.gr</t>
  </si>
  <si>
    <t>ΠΕΥΚΩΝ</t>
  </si>
  <si>
    <t>ΠΛΑΤΩΝΟΣ 12</t>
  </si>
  <si>
    <t>2ο ΝΗΠΙΑΓΩΓΕΙΟ ΠΕΥΚΩΝ</t>
  </si>
  <si>
    <t>mail@2nip-pefkon.thess.sch.gr</t>
  </si>
  <si>
    <t>ΡΟΔΩΝ 42</t>
  </si>
  <si>
    <t>ΝΗΠΙΑΓΩΓΕΙΟ ΧΡΥΣΑΥΓΗΣ ΘΕΣΣΑΛΟΝΙΚΗΣ</t>
  </si>
  <si>
    <t>nipchryt@sch.gr</t>
  </si>
  <si>
    <t>ΧΡΥΣΑΥΓΗΣ</t>
  </si>
  <si>
    <t>3ο ΔΗΜΟΤΙΚΟ ΣΧΟΛΕΙΟ ΕΛΕΥΘΕΡΙΟΥ-ΚΟΡΔΕΛΙΟΥ</t>
  </si>
  <si>
    <t>mail@3dim-elefth.thess.sch.gr</t>
  </si>
  <si>
    <t>ΚΟΡΔΕΛΙΟ</t>
  </si>
  <si>
    <t>2ο ΔΗΜΟΤΙΚΟ ΣΧΟΛΕΙΟ ΛΑΓΚΑΔΑ</t>
  </si>
  <si>
    <t>mail@2dim-lagkad.thess.sch.gr</t>
  </si>
  <si>
    <t>4ο ΝΗΠΙΑΓΩΓΕΙΟ ΠΕΥΚΩΝ</t>
  </si>
  <si>
    <t>4nippefk@sch.gr</t>
  </si>
  <si>
    <t>ΤΡΙΩΝ ΙΕΡΑΡΧΩΝ 1</t>
  </si>
  <si>
    <t>14ο ΔΗΜΟΤΙΚΟ ΣΧΟΛΕΙΟ ΣΤΑΥΡΟΥΠΟΛΗΣ</t>
  </si>
  <si>
    <t>14dimsta@sch.gr</t>
  </si>
  <si>
    <t>18ο ΔΗΜΟΤΙΚΟ ΣΧΟΛΕΙΟ ΣΤΑΥΡΟΥΠΟΛΗΣ</t>
  </si>
  <si>
    <t>mail@18dim-stavroup.thess.sch.gr</t>
  </si>
  <si>
    <t>ΔΕΚΑΤΟΥ ΟΓΔΟΟΥ ΔΗΜΟΤΙΚΟΥ ΣΧΟΛΕΙΟΥ 10</t>
  </si>
  <si>
    <t>1ο ΝΗΠΙΑΓΩΓΕΙΟ ΕΥΚΑΡΠΙΑΣ</t>
  </si>
  <si>
    <t>1nipefka@sch.gr</t>
  </si>
  <si>
    <t>ΕΥΚΑΡΠΙΑΣ</t>
  </si>
  <si>
    <t>ΑΓΙΟΥ ΓΕΩΡΓΙΟΥ 28</t>
  </si>
  <si>
    <t>2ο ΝΗΠΙΑΓΩΓΕΙΟ ΕΥΚΑΡΠΙΑΣ</t>
  </si>
  <si>
    <t>mail@2nip-efkarp.thess.sch.gr</t>
  </si>
  <si>
    <t>ΑΓ. ΔΗΜΗΤΡΙΟΥ 1Α</t>
  </si>
  <si>
    <t>3ο ΝΗΠΙΑΓΩΓΕΙΟ ΕΥΚΑΡΠΙΑΣ</t>
  </si>
  <si>
    <t>mail@3nip-efkarp.thess.sch.gr</t>
  </si>
  <si>
    <t>Κ. ΜΑΚΕΔΟΝΙΑ/Δ.ΠΑΥΛΟΥ ΜΕΛΑ/ΕΥΚΑΡΠΙΑ/ Γ. ΣΕΦΕΡΗ 2</t>
  </si>
  <si>
    <t>4ο ΔΗΜΟΤΙΚΟ ΣΧΟΛΕΙΟ ΕΥΟΣΜΟΥ</t>
  </si>
  <si>
    <t>4dimev@sch.gr</t>
  </si>
  <si>
    <t>ΘΑΛΕΙΑΣ ΚΑΙ ΝΕΜΕΑΣ</t>
  </si>
  <si>
    <t>4ο ΝΗΠΙΑΓΩΓΕΙΟ ΕΥΚΑΡΠΙΑΣ</t>
  </si>
  <si>
    <t>mail@4nip-efkarp.thess.sch.gr</t>
  </si>
  <si>
    <t>Ρ. ΦΕΡΑΙΟΥ 19</t>
  </si>
  <si>
    <t>1ο ΔΗΜΟΤΙΚΟ ΣΧΟΛΕΙΟ ΜΕΝΕΜΕΝΗΣ</t>
  </si>
  <si>
    <t>mail@1dim-menem.thess.sch.gr</t>
  </si>
  <si>
    <t>Μ.ΤΡΙΑΝΤΑΦΥΛΛΙΔΗ 1</t>
  </si>
  <si>
    <t>ΔΗΜΟΤΙΚΟ ΣΧΟΛΕΙΟ ΒΑΘΥΛΑΚΟΥ</t>
  </si>
  <si>
    <t>dimvatht@sch.gr</t>
  </si>
  <si>
    <t>ΒΑΘΥΛΑΚΟΣ</t>
  </si>
  <si>
    <t>ΛΥΜΠΕΡΗ ΠΑΥΛΙΔΑΚΗ</t>
  </si>
  <si>
    <t>1ο ΔΗΜΟΤΙΚΟ ΣΧΟΛΕΙΟ ΑΓΙΟΥ ΠΑΥΛΟΥ</t>
  </si>
  <si>
    <t>mail@1dim-ag-pavl.thess.sch.gr</t>
  </si>
  <si>
    <t>Αγ. Παύλος Θεσ/νίκης</t>
  </si>
  <si>
    <t>ΛΕΩΦΟΡΟΣ ΟΧΙ 25 - ΤΕΡΜΑ ΔΑΣΟΥΣ</t>
  </si>
  <si>
    <t>5ο ΔΗΜΟΤΙΚΟ ΣΧΟΛΕΙΟ ΕΥΟΣΜΟΥ</t>
  </si>
  <si>
    <t>mail@5dim-evosm.thess.sch.gr</t>
  </si>
  <si>
    <t>ΔΕΚΑΤΗΣ ΕΒΔΟΜΗΣ ΝΟΕΜΒΡΙΟΥ 2</t>
  </si>
  <si>
    <t>ΔΗΜΟΤΙΚΟ ΣΧΟΛΕΙΟ ΑΝΑΤΟΛΙΚΟΥ ¨ Η ΒΑΛΜΑΔΑ ¨</t>
  </si>
  <si>
    <t>dimanat@sch.gr</t>
  </si>
  <si>
    <t>ΑΝΑΤΟΛΙΚΟ</t>
  </si>
  <si>
    <t>ΔΗΜΟΤΙΚΟΥ ΣΧΟΛΕΙΟΥ 2</t>
  </si>
  <si>
    <t>2ο ΔΗΜΟΤΙΚΟ ΣΧΟΛΕΙΟ ΧΑΛΑΣΤΡΑΣ</t>
  </si>
  <si>
    <t>mail@2dim-chalastr.thess.sch.gr</t>
  </si>
  <si>
    <t>ΚΑΜΠΑΝΙΑΣ 14</t>
  </si>
  <si>
    <t>1ο ΔΗΜΟΤΙΚΟ ΣΧΟΛΕΙΟ ΑΓΙΟΥ ΑΘΑΝΑΣΙΟΥ ΘΕΣΣΑΛΟΝΙΚΗΣ</t>
  </si>
  <si>
    <t>mail@1dim-ag-athan.thess.sch.gr</t>
  </si>
  <si>
    <t>ΠΛ. ΙΩΑΝΝΟΥ ΜΕΤΑΞΑ 49</t>
  </si>
  <si>
    <t>ΔΗΜΟΤΙΚΟ ΣΧΟΛΕΙΟ ΒΡΑΧΙΑΣ</t>
  </si>
  <si>
    <t>mail@dim-vrach.thess.sch.gr</t>
  </si>
  <si>
    <t>ΔΗΜΟΤΙΚΟ ΣΧΟΛΕΙΟ ΠΡΟΧΩΜΑΤΟΣ</t>
  </si>
  <si>
    <t>mail@dim-proch.thess.sch.gr</t>
  </si>
  <si>
    <t>ΠΡΟΧΩΜΑ</t>
  </si>
  <si>
    <t>1ο ΔΗΜΟΤΙΚΟ ΣΧΟΛΕΙΟ ΣΙΝΔΟΥ</t>
  </si>
  <si>
    <t>1dimsind@sch.gr</t>
  </si>
  <si>
    <t>ΔΗΜΗΤΡΙΟΥ ΠΑΠΑΔΟΠΟΥΛΟΥ 2</t>
  </si>
  <si>
    <t>ΔΗΜΟΤΙΚΟ ΣΧΟΛΕΙΟ ΠΕΝΤΑΛΟΦΟΥ  ΘΕΣΣΑΛΟΝΙΚΗΣ</t>
  </si>
  <si>
    <t>mail@dim-pental.thess.sch.gr</t>
  </si>
  <si>
    <t>3ο ΔΗΜΟΤΙΚΟ ΣΧΟΛΕΙΟ ΚΟΥΦΑΛΙΩΝ</t>
  </si>
  <si>
    <t>mail@3dim-koufal.thess.sch.gr</t>
  </si>
  <si>
    <t>ΚΟΥΦΑΛΙΑ</t>
  </si>
  <si>
    <t>ΑΓΙΟΥ ΑΘΑΝΑΣΙΟΥ 34</t>
  </si>
  <si>
    <t>2ο ΔΗΜΟΤΙΚΟ ΣΧΟΛΕΙΟ ΚΟΥΦΑΛΙΩΝ</t>
  </si>
  <si>
    <t>mail@2dim-koufal.thess.sch.gr</t>
  </si>
  <si>
    <t>ΕΘΝΙΚΗΣ ΑΝΤΙΣΤΑΣΗΣ 99 ΚΟΥΦΑΛΙΑ</t>
  </si>
  <si>
    <t>1ο ΔΗΜΟΤΙΚΟ ΣΧΟΛΕΙΟ ΚΟΥΦΑΛΙΩΝ</t>
  </si>
  <si>
    <t>1dimkouf@sch.gr</t>
  </si>
  <si>
    <t>Κουφάλια</t>
  </si>
  <si>
    <t>Εθνικής Αντίστασης 41</t>
  </si>
  <si>
    <t>4ο ΔΗΜΟΤΙΚΟ ΣΧΟΛΕΙΟ ΚΟΥΦΑΛΙΩΝ</t>
  </si>
  <si>
    <t>mail@4dim-koufal.thess.sch.gr</t>
  </si>
  <si>
    <t>ΚΟΥΦΑΛΙΑ:</t>
  </si>
  <si>
    <t>ΔΗΜΟΤΙΚΟ ΣΧΟΛΕΙΟ ΝΕΩΝ ΜΑΛΓΑΡΩΝ</t>
  </si>
  <si>
    <t>mail@dim-n-malgar.thess.sch.gr</t>
  </si>
  <si>
    <t>Νέα Μάλγαρα Θεσσαλονίκης</t>
  </si>
  <si>
    <t>Ν. ΜΑΛΓΑΡΑ</t>
  </si>
  <si>
    <t>ΔΗΜΟΤΙΚΟ ΣΧΟΛΕΙΟ ΜΙΚΡΟΥ ΜΟΝΑΣΤΗΡΙΟΥ</t>
  </si>
  <si>
    <t>mail@dim-mikr-monast.thess.sch.gr</t>
  </si>
  <si>
    <t xml:space="preserve">ΜΙΚΡΟ ΜΟΝΑΣΤΗΡΙ </t>
  </si>
  <si>
    <t>3ο ΔΗΜΟΤΙΚΟ ΣΧΟΛΕΙΟ ΧΑΛΑΣΤΡΑΣ</t>
  </si>
  <si>
    <t>mail@3dim-chalastr.thess.sch.gr</t>
  </si>
  <si>
    <t>ΠΑΡΟΔΟΣ ΜΑΖΑΡΑΚΗ (ΤΕΡΜΑ)</t>
  </si>
  <si>
    <t>1ο ΝΗΠΙΑΓΩΓΕΙΟ ΩΡΑΙΟΚΑΣΤΡΟΥ</t>
  </si>
  <si>
    <t>mail@1nip-oraiok.thess.sch.gr</t>
  </si>
  <si>
    <t>ΠΑΙΔΟΠΟΛΗ</t>
  </si>
  <si>
    <t>2ο ΝΗΠΙΑΓΩΓΕΙΟ ΩΡΑΙΟΚΑΣΤΡΟΥ</t>
  </si>
  <si>
    <t>mail@2nip-oraiok.thess.sch.gr</t>
  </si>
  <si>
    <t>ΑΛΣΟΥΣ ΚΑΙ ΛΕΜΟΝΙΑΣ</t>
  </si>
  <si>
    <t>ΔΗΜΟΤΙΚΟ ΣΧΟΛΕΙΟ ΓΕΦΥΡΑΣ</t>
  </si>
  <si>
    <t>mail@dim-gefyr.thess.sch.gr</t>
  </si>
  <si>
    <t>ΓΕΦΥΡΑ</t>
  </si>
  <si>
    <t>ΔΗΜΟΚΡΑΤΙΑΣ  18</t>
  </si>
  <si>
    <t>3ο ΝΗΠΙΑΓΩΓΕΙΟ ΩΡΑΙΟΚΑΣΤΡΟΥ</t>
  </si>
  <si>
    <t>mail@3nip-oraiok.thess.sch.gr</t>
  </si>
  <si>
    <t>ΣΟΛΩΜΟΥ &amp; ΕΞΑΔΑΚΤΥΛΟΥ</t>
  </si>
  <si>
    <t>12ο ΔΗΜΟΤΙΚΟ ΣΧΟΛΕΙΟ ΑΜΠΕΛΟΚΗΠΩΝ - 9190823</t>
  </si>
  <si>
    <t>12dimampel@sch.gr</t>
  </si>
  <si>
    <t>Μ. ΑΛΕΞΑΝΔΡΟΥ - ΤΖΕΚΑΚΗ</t>
  </si>
  <si>
    <t>1ο ΔΗΜΟΤΙΚΟ ΣΧΟΛΕΙΟ ΚΥΜΙΝΩΝ</t>
  </si>
  <si>
    <t>mail@1dim-kymin.thess.sch.gr</t>
  </si>
  <si>
    <t>ΚΥΜΙΝΩΝ</t>
  </si>
  <si>
    <t>Μ. ΑΛΕΞΑΝΔΡΟΥ</t>
  </si>
  <si>
    <t>6ο ΔΙΑΠΟΛΙΤΙΣΜΙΚΟ ΔΗΜΟΤΙΚΟ ΣΧΟΛΕΙΟ ΕΥΟΣΜΟΥ</t>
  </si>
  <si>
    <t>mail@6dim-evosm.thess.sch.gr</t>
  </si>
  <si>
    <t>ΕΙΡΗΝΗΣ-ΜΑΚΕΔΟΝΟΜΑΧΩΝ</t>
  </si>
  <si>
    <t>5ο ΝΗΠΙΑΓΩΓΕΙΟ ΝΕΑΠΟΛΗΣ</t>
  </si>
  <si>
    <t>mail@5nip-neapol.thess.sch.gr</t>
  </si>
  <si>
    <t>ΔΙΔΥΜΟΤΕΙΧΟΥ 76</t>
  </si>
  <si>
    <t>8ο ΔΗΜΟΤΙΚΟ ΣΧΟΛΕΙΟ ΕΥΟΣΜΟΥ</t>
  </si>
  <si>
    <t>mail@8dim-evosm.thess.sch.gr</t>
  </si>
  <si>
    <t>1ο ΔΗΜΟΤΙΚΟ ΣΧΟΛΕΙΟ ΑΜΠΕΛΟΚΗΠΩΝ</t>
  </si>
  <si>
    <t>mail@1dim-ampel.thess.sch.gr</t>
  </si>
  <si>
    <t>ΕΛ. ΒΕΝΙΖΕΛΟΥ 86</t>
  </si>
  <si>
    <t>ΔΗΜΟΤΙΚΟ ΣΧΟΛΕΙΟ ΧΑΛΚΗΔΟΝΑΣ</t>
  </si>
  <si>
    <t>mail@dim-chalk.thess.sch.gr</t>
  </si>
  <si>
    <t>ΧΑΛΚΗΔΟΝΑ</t>
  </si>
  <si>
    <t>ΡΗΓΑ  ΦΕΡΑΙΟΥ 16</t>
  </si>
  <si>
    <t>3ο ΔΗΜΟΤΙΚΟ ΣΧΟΛΕΙΟ ΠΕΥΚΩΝ</t>
  </si>
  <si>
    <t>mail@3dim-pefkon.thess.sch.gr</t>
  </si>
  <si>
    <t>ΕΙΡΗΝΗΣ  3</t>
  </si>
  <si>
    <t>4ο ΔΗΜΟΤΙΚΟ ΣΧΟΛΕΙΟ ΑΜΠΕΛΟΚΗΠΩΝ</t>
  </si>
  <si>
    <t>mail@4dim-ampel.thess.sch.gr</t>
  </si>
  <si>
    <t>28ης ΟΚΤΩΒΡΙΟΥ 79</t>
  </si>
  <si>
    <t>1ο ΔΗΜΟΤΙΚΟ ΣΧΟΛΕΙΟ ΚΑΛΟΧΩΡΙΟΥ</t>
  </si>
  <si>
    <t>mail@1dim-kaloch.thess.sch.gr</t>
  </si>
  <si>
    <t>ΔΑΒΑΚΗ 3</t>
  </si>
  <si>
    <t>4ο ΝΗΠΙΑΓΩΓΕΙΟ ΕΥΟΣΜΟΥ</t>
  </si>
  <si>
    <t>mail@4nip-evosm.thess.sch.gr</t>
  </si>
  <si>
    <t>ΜΕΣΟΛΟΓΓΙΟΥ ΚΑΙ ΜΑΡΤΙΟΥ 18</t>
  </si>
  <si>
    <t>10ο ΔΗΜΟΤΙΚΟ ΣΧΟΛΕΙΟ ΕΥΟΣΜΟΥ</t>
  </si>
  <si>
    <t>mail@10dim-evosm.thess.sch.gr</t>
  </si>
  <si>
    <t>Εύοσμος</t>
  </si>
  <si>
    <t>Ακρίτα 37</t>
  </si>
  <si>
    <t>11ο ΔΗΜΟΤΙΚΟ ΣΧΟΛΕΙΟ ΕΥΟΣΜΟΥ</t>
  </si>
  <si>
    <t>mail@11dim-evosm.thess.sch.gr</t>
  </si>
  <si>
    <t>ΧΑΡΙΛΑΟΥ ΤΡΙΚΟΥΠΗ 26</t>
  </si>
  <si>
    <t>1ο ΝΗΠΙΑΓΩΓΕΙΟ ΧΑΛΑΣΤΡΑΣ</t>
  </si>
  <si>
    <t>mail@1nip-chalastr.thess.sch.gr</t>
  </si>
  <si>
    <t>ΕΓΝΑΤΙΑ-Μ.ΑΛΕΞΑΝΔΡΟΥ 38Β</t>
  </si>
  <si>
    <t>2ο ΝΗΠΙΑΓΩΓΕΙΟ ΣΙΝΔΟΥ</t>
  </si>
  <si>
    <t>mail@2nip-sindou.thess.sch.gr</t>
  </si>
  <si>
    <t>ΣΙΝΔΟΥ</t>
  </si>
  <si>
    <t>Π. ΜΕΛΑ 43</t>
  </si>
  <si>
    <t>1ο ΝΗΠΙΑΓΩΓΕΊΟ ΚΑΛΟΧΩΡΙΟΥ</t>
  </si>
  <si>
    <t>mail@1nip-kaloch.thess.sch.gr</t>
  </si>
  <si>
    <t>ΚΑΛΟΧΩΡΙΟΥ</t>
  </si>
  <si>
    <t>ΔΑΒΑΚΗ 3 με ΚΑΠΕΤΑΝ ΑΓΡΑ ΓΩΝΙΑ</t>
  </si>
  <si>
    <t>2ο ΝΗΠΙΑΓΩΓΕΙΟ ΚΑΛΟΧΩΡΙΟΥ</t>
  </si>
  <si>
    <t>mail@2nip-kaloch.thess.sch.gr</t>
  </si>
  <si>
    <t>ΝΗΠΙΑΓΩΓΕΙΟ ΑΓΙΑΣ ΣΟΦΙΑΣ</t>
  </si>
  <si>
    <t>mail@nip-ag-sofias.thess.sch.gr</t>
  </si>
  <si>
    <t>ΑΓΙΑΣ ΣΟΦΙΑΣ</t>
  </si>
  <si>
    <t>ΟΙΚΙΣΜΟΣ ΑΓ. ΣΟΦΙΑΣ</t>
  </si>
  <si>
    <t>1ο ΝΗΠΙΑΓΩΓΕΙΟ ΑΓΙΟΥ ΑΘΑΝΑΣΙΟΥ ΘΕΣΣΑΛΟΝΙΚΗΣ</t>
  </si>
  <si>
    <t>mail@1nip-ag-athan.thess.sch.gr</t>
  </si>
  <si>
    <t>ΤΕΡΜΑ ΣΟΜΑ</t>
  </si>
  <si>
    <t>1ο ΝΗΠΙΑΓΩΓΕΙΟ ΔΙΑΒΑΤΩΝ</t>
  </si>
  <si>
    <t>mail@1nip-ionias.thess.sch.gr</t>
  </si>
  <si>
    <t>Δ.ΚΟΜΝΗΝΟΥ 6</t>
  </si>
  <si>
    <t>3ο ΝΗΠΙΑΓΩΓΕΙΟ ΔΙΑΒΑΤΩΝ</t>
  </si>
  <si>
    <t>mail@3nip-ionias.thess.sch.gr</t>
  </si>
  <si>
    <t>ΔΙΑΒΑΤΩΝ</t>
  </si>
  <si>
    <t>Γ.ΠΑΠΑΝΔΡΕΟΥ 44</t>
  </si>
  <si>
    <t>2ο ΝΗΠΙΑΓΩΓΕΙΟ ΝΕΑΣ ΜΑΓΝΗΣΙΑΣ</t>
  </si>
  <si>
    <t>mail@5nip-ionias.thess.sch.gr</t>
  </si>
  <si>
    <t>ΝΕΑΣ ΜΑΓΝΗΣΙΑΣ</t>
  </si>
  <si>
    <t>Ν. ΠΛΑΣΤΗΡΑ &amp; ΗΡΟΔΟΤΟΥ</t>
  </si>
  <si>
    <t>4ο ΝΗΠΙΑΓΩΓΕΙΟ ΚΟΥΦΑΛΙΩΝ</t>
  </si>
  <si>
    <t>mail@4nip-koufal.thess.sch.gr</t>
  </si>
  <si>
    <t>ΚΟΛΟΚΟΤΡΩΝΗ 2-ΠΑΠΑΦΛΕΣΣΑ</t>
  </si>
  <si>
    <t>1ο ΝΗΠΙΑΓΩΓΕΙΟ ΣΙΝΔΟΥ</t>
  </si>
  <si>
    <t>mail@1nip-sindou.thess.sch.gr</t>
  </si>
  <si>
    <t>ΜΑΝΟΛΗ ΑΝΔΡΟΝΙΚΟΥ&amp; ΓΕΝΝΗΜΑΤΑ (ΕΠΕΚΤΑΣΗ ΣΙΝΔΟΥ)</t>
  </si>
  <si>
    <t>3ο ΝΗΠΙΑΓΩΓΕΙΟ ΣΙΝΔΟΥ</t>
  </si>
  <si>
    <t>mail@3nip-sindou.thess.sch.gr</t>
  </si>
  <si>
    <t>28ΗΣ  ΟΚΤΩΒΡΙΟΥ 1</t>
  </si>
  <si>
    <t>13ο ΔΗΜΟΤΙΚΟ ΣΧΟΛΕΙΟ ΑΜΠΕΛΟΚΗΠΩΝ</t>
  </si>
  <si>
    <t>mail@13dim-ampel.thess.sch.gr</t>
  </si>
  <si>
    <t>ΕΘΝΙΚΗΣ ΑΝΤΙΣΤΑΣΗΣ 59</t>
  </si>
  <si>
    <t>12ο ΔΗΜΟΤΙΚΟ ΣΧΟΛΕΙΟ ΕΥΟΣΜΟΥ (9190906)</t>
  </si>
  <si>
    <t>mail@12dim-evosm.thess.sch.gr</t>
  </si>
  <si>
    <t>5ο ΔΗΜΟΤΙΚΟ ΣΧΟΛΕΙΟ ΠΟΛΙΧΝΗΣ</t>
  </si>
  <si>
    <t>mail@5dim-polichn.thess.sch.gr</t>
  </si>
  <si>
    <t>13ο ΔΗΜΟΤΙΚΟ ΣΧΟΛΕΙΟ ΕΥΟΣΜΟΥ</t>
  </si>
  <si>
    <t>mail@13dim-evosm.thess.sch.gr</t>
  </si>
  <si>
    <t>25ΗΣ ΜΑΡΤΙΟΥ ΚΑΙ ΠΡΩΤΟΜΑΓΙΑΣ</t>
  </si>
  <si>
    <t>14ο ΔΗΜΟΤΙΚΟ ΣΧΟΛΕΙΟ ΕΥΟΣΜΟΥ</t>
  </si>
  <si>
    <t>mail@14dim-evosm.thess.sch.gr</t>
  </si>
  <si>
    <t>28ης  ΟΚΤΩΒΡΙΟΥ 13</t>
  </si>
  <si>
    <t>3ο ΠΕΙΡΑΜΑΤΙΚΟ ΔΗΜΟΤΙΚΟ ΣΧΟΛΕΙΟ ΕΥΟΣΜΟΥ(ΕΝΤΑΓΜΕΝΟ ΣΤΟ ΤΜΗΜΑ ΑΓΓΛΙΚΗΣ ΓΛΩΣΣΑΣ ΚΑΙ ΦΙΛΟΛΟΓΙΑΣ ΤΟΥ Α.Π.Θ.)</t>
  </si>
  <si>
    <t>3dimevos@sch.gr</t>
  </si>
  <si>
    <t>ΚΑΡΑΟΛΗ-ΔΗΜΗΤΡΙΟΥ 26</t>
  </si>
  <si>
    <t>1ο ΔΗΜΟΤΙΚΟ ΣΧΟΛΕΙΟ ΔΙΑΒΑΤΩΝ</t>
  </si>
  <si>
    <t>mail@1dim-ionias.thess.sch.gr</t>
  </si>
  <si>
    <t>ΔΗΜ. ΚΟΜΝΗΝΩΝ 6-8</t>
  </si>
  <si>
    <t>10ο ΔΗΜΟΤΙΚΟ ΣΧΟΛΕΙΟ ΠΟΛΙΧΝΗΣ</t>
  </si>
  <si>
    <t>mail@10dim-polichn.thess.sch.gr</t>
  </si>
  <si>
    <t>ΟΛΥΜΠΙΟΝΙΚΗ ΚΑΡΥΠΙΔΗ 11</t>
  </si>
  <si>
    <t>15ο ΔΗΜΟΤΙΚΟ ΣΧΟΛΕΙΟ ΕΥΟΣΜΟΥ</t>
  </si>
  <si>
    <t>mail@15dim-evosm.thess.sch.gr</t>
  </si>
  <si>
    <t>ΘΑΛΕΙΑΣ-ΝΕΜΕΑΣ</t>
  </si>
  <si>
    <t>16ο ΔΗΜΟΤΙΚΟ ΣΧΟΛΕΙΟ ΕΥΟΣΜΟΥ</t>
  </si>
  <si>
    <t>mail@16dim-evosm.thess.sch.gr</t>
  </si>
  <si>
    <t>Πεύκων 2</t>
  </si>
  <si>
    <t>1ο ΔΗΜΟΤΙΚΟ ΣΧΟΛΕΙΟ ΠΟΛΙΧΝΗΣ</t>
  </si>
  <si>
    <t>mail@1dim-polichn.thess.sch.gr</t>
  </si>
  <si>
    <t>ΣΧΟΛΕΙΟΥ 1</t>
  </si>
  <si>
    <t>5ο ΔΗΜΟΤΙΚΟ ΣΧΟΛΕΙΟ ΝΕΑΠΟΛΗΣ</t>
  </si>
  <si>
    <t>5dimneap@sch.gr</t>
  </si>
  <si>
    <t>ΑΘ. ΔΙΑΚΟΥ 27</t>
  </si>
  <si>
    <t>17ο ΔΗΜΟΤΙΚΟ ΣΧΟΛΕΙΟ ΕΥΟΣΜΟΥ</t>
  </si>
  <si>
    <t>mail@17dim-evosm.thess.sch.gr</t>
  </si>
  <si>
    <t>ΑΚΡΙΤΑ 37</t>
  </si>
  <si>
    <t>18ο ΔΗΜΟΤΙΚΟ ΣΧΟΛΕΙΟ ΕΥΟΣΜΟΥ</t>
  </si>
  <si>
    <t>18dimevo@sch.gr</t>
  </si>
  <si>
    <t>ΜΑΙΑΝΔΡΟΥ-ΦΙΛΙΠΠΟΥ</t>
  </si>
  <si>
    <t>20ο ΔΗΜΟΤΙΚΟ ΣΧΟΛΕΙΟ ΕΥΟΣΜΟΥ</t>
  </si>
  <si>
    <t>mail@20dim-evosm.thess.sch.gr</t>
  </si>
  <si>
    <t>ΔΕΚΑΤΗΣ ΕΒΔΟΜΗΣ ΝΟΕΜΒΡΗ ΚΑΙ ΒΕΡΓΙΝΑΣ</t>
  </si>
  <si>
    <t>10ο ΔΗΜΟΤΙΚΟ ΣΧΟΛΕΙΟ ΝΕΑΠΟΛΗΣ</t>
  </si>
  <si>
    <t>mail@10dim-neapol.thess.sch.gr</t>
  </si>
  <si>
    <t>ΤΕΡΜΑ ΦΡΑΓΚΛΙΝΟΥ ΡΟΥΣΒΕΛΤ</t>
  </si>
  <si>
    <t>3ο ΔΗΜΟΤΙΚΟ ΣΧΟΛΕΙΟ ΣΥΚΕΩΝ</t>
  </si>
  <si>
    <t>mail@3dim-sykeon.thess.sch.gr</t>
  </si>
  <si>
    <t>13ο ΔΗΜΟΤΙΚΟ ΣΧΟΛΕΙΟ ΠΟΛΙΧΝΗΣ</t>
  </si>
  <si>
    <t>mail@13dim-polichn.thess.sch.gr</t>
  </si>
  <si>
    <t>ΦΙΛΙΠΠΟΥ 85</t>
  </si>
  <si>
    <t>10ο ΔΗΜΟΤΙΚΟ ΣΧΟΛΕΙΟ ΣΥΚΕΩΝ</t>
  </si>
  <si>
    <t>mail@10dim-sykeon.thess.sch.gr</t>
  </si>
  <si>
    <t>ΑΡΓΥΡΟΚΑΣΤΡΟΥ &amp; ΚΟΝΤΟΣΟΓΛΟΥ</t>
  </si>
  <si>
    <t>8ο ΔΗΜΟΤΙΚΟ ΣΧΟΛΕΙΟ ΣΥΚΕΩΝ</t>
  </si>
  <si>
    <t>mail@8dim-sykeon.thess.sch.gr</t>
  </si>
  <si>
    <t>Βορείου Ηπείρου 7</t>
  </si>
  <si>
    <t>4ο ΔΗΜΟΤΙΚΟ ΣΧΟΛΕΙΟ ΠΟΛΙΧΝΗΣ</t>
  </si>
  <si>
    <t>mail@4dim-polichn.thess.sch.gr</t>
  </si>
  <si>
    <t>ΠΟΛΙΧΝΗ-ΘΕΣΣΑΛΟΝΙΚΗ</t>
  </si>
  <si>
    <t>3ο ΔΗΜΟΤΙΚΟ ΣΧΟΛΕΙΟ  ΝΕΑΠΟΛΗΣ ΘΕΣΣΑΛΟΝΊΚΗΣ</t>
  </si>
  <si>
    <t>mail@3dim-neapol.thess.sch.gr</t>
  </si>
  <si>
    <t>3ο ΔΗΜΟΤΙΚΟ ΣΧΟΛΕΙΟ ΠΟΛΙΧΝΗΣ</t>
  </si>
  <si>
    <t>mail@3dim-polichn.thess.sch.gr</t>
  </si>
  <si>
    <t>ΔΙΓΕΝΗ ΚΑΙ ΙΑΣΩΝΙΔΗ</t>
  </si>
  <si>
    <t>2ο ΔΗΜΟΤΙΚΟ ΣΧΟΛΕΙΟ ΣΥΚΕΩΝ</t>
  </si>
  <si>
    <t>mail@2dim-sykeon.thess.sch.gr</t>
  </si>
  <si>
    <t>ΟΔ. ΚΑΙ ΑΠ. ΦΩΚΑ 17</t>
  </si>
  <si>
    <t>11ο ΔΗΜΟΤΙΚΟ ΣΧΟΛΕΙΟ ΣΥΚΕΩΝ</t>
  </si>
  <si>
    <t>mail@11dim-sykeon.thess.sch.gr</t>
  </si>
  <si>
    <t>3ο ΔΙΑΠΟΛΙΤΙΣΜΙΚΟ ΔΗΜΟΤΙΚΟ ΣΧΟΛΕΙΟ ΜΕΝΕΜΕΝΗΣ</t>
  </si>
  <si>
    <t>mail@3dim-diap-menem.thess.sch.gr</t>
  </si>
  <si>
    <t>ΚΩΝΣΤΑΝΤΙΝΟΥΠΟΛΕΩΣ 58-ΚΟΛΟΚΟΤΡΩΝΗ</t>
  </si>
  <si>
    <t>7ο ΔΗΜΟΤΙΚΟ ΣΧΟΛΕΙΟ ΝΕΑΠΟΛΗΣ</t>
  </si>
  <si>
    <t>mail@7dim-neapol.thess.sch.gr</t>
  </si>
  <si>
    <t>Κ. ΚΑΡΑΜΑΝΛΗ 31</t>
  </si>
  <si>
    <t>21ο ΔΗΜΟΤΙΚΟ ΣΧΟΛΕΙΟ ΕΥΟΣΜΟΥ</t>
  </si>
  <si>
    <t>mail@21dim-evosm.thess.sch.gr</t>
  </si>
  <si>
    <t>22ο ΔΗΜΟΤΙΚΟ ΣΧΟΛΕΙΟ ΕΥΟΣΜΟΥ</t>
  </si>
  <si>
    <t>mail@22dim-evosm.thess.sch.gr</t>
  </si>
  <si>
    <t>3ο ΔΗΜΟΤΙΚΟ ΣΧΟΛΕΙΟ ΕΥΚΑΡΠΙΑΣ</t>
  </si>
  <si>
    <t>mail@3dim-efkarp.thess.sch.gr</t>
  </si>
  <si>
    <t>ΔΩΔΕΚΑΝΗΣΟΥ 16</t>
  </si>
  <si>
    <t>2ο ΝΗΠΙΑΓΩΓΕΙΟ ΠΑΛΑΙΟΚΑΣΤΡΟΥ</t>
  </si>
  <si>
    <t>mail@2nip-palaiok.thess.sch.gr</t>
  </si>
  <si>
    <t>ΝΕΟΧΩΡΟΥΔΑΣ 8</t>
  </si>
  <si>
    <t>5ο ΝΗΠΙΑΓΩΓΕΙΟ ΕΥΚΑΡΠΙΑΣ</t>
  </si>
  <si>
    <t>mail@5nip-efkarp.thess.sch.gr</t>
  </si>
  <si>
    <t>ΟΜΗΡΟΥ ΚΑΙ ΕΓΝΑΤΙΑΣ</t>
  </si>
  <si>
    <t>5ο ΝΗΠΙΑΓΩΓΕΙΟ ΠΕΥΚΩΝ</t>
  </si>
  <si>
    <t>mail@5nip-pefkon.thess.sch.gr</t>
  </si>
  <si>
    <t>23ο ΔΗΜΟΤΙΚΟ ΣΧΟΛΕΙΟ ΕΥΟΣΜΟΥ</t>
  </si>
  <si>
    <t>mail@23dim-evosm.thess.sch.gr</t>
  </si>
  <si>
    <t>25ΗΣ ΜΑΡΤΙΟΥ- ΠΡΩΤΟΜΑΓΙΑΣ</t>
  </si>
  <si>
    <t>24ο ΔΗΜΟΤΙΚΟ ΣΧΟΛΕΙΟ ΕΥΟΣΜΟΥ</t>
  </si>
  <si>
    <t>mail@24dim-evosm.thess.sch.gr</t>
  </si>
  <si>
    <t>ΓΟΡΓΟΠΟΤΑΜΟΥ 1</t>
  </si>
  <si>
    <t>24ο ΝΗΠΙΑΓΩΓΕΙΟ ΕΥΟΣΜΟΥ</t>
  </si>
  <si>
    <t>mail@24nip-evosm.thess.sch.gr</t>
  </si>
  <si>
    <t>28ο ΝΗΠΙΑΓΩΓΕΙΟ ΕΥΟΣΜΟΥ</t>
  </si>
  <si>
    <t>mail@28nip-evosm.thess.sch.gr</t>
  </si>
  <si>
    <t>ΜΑΒΙΛΗ 8</t>
  </si>
  <si>
    <t>30ο ΝΗΠΙΑΓΩΓΕΙΟ ΕΥΟΣΜΟΥ</t>
  </si>
  <si>
    <t>mail@30nip-evosm.thess.sch.gr</t>
  </si>
  <si>
    <t>ΤΕΡΜΑ ΣΜΥΡΝΗΣ</t>
  </si>
  <si>
    <t>5ο ΝΗΠΙΑΓΩΓΕΙΟ ΔΙΑΒΑΤΩΝ</t>
  </si>
  <si>
    <t>mail@5nip-diavat.thess.sch.gr</t>
  </si>
  <si>
    <t>ΔΑΒΑΚΗ ΚΑΙ ΧΑΡΙΛΑΟΥ ΤΡΙΚΟΥΠΗ Ν. ΜΑΓΝΗΣΙΑ</t>
  </si>
  <si>
    <t>4ο ΝΗΠΙΑΓΩΓΕΙΟ ΣΙΝΔΟΥ</t>
  </si>
  <si>
    <t>mail@4nip-sindou.thess.sch.gr</t>
  </si>
  <si>
    <t>ΕΠΕΚΤΑΣΗ ΣΙΝΔΟΥ</t>
  </si>
  <si>
    <t>4ο ΝΗΠΙΑΓΩΓΕΙΟ ΩΡΑΙΟΚΑΣΤΡΟΥ</t>
  </si>
  <si>
    <t>mail@4nip-oraiok.thess.sch.gr</t>
  </si>
  <si>
    <t>ΜΕΓΑΛΟΥ ΑΛΕΞΑΝΔΡΟΥ 28</t>
  </si>
  <si>
    <t>14ο  ΝΗΠΙΑΓΩΓΕΙΟ ΠΟΛΙΧΝΗΣ</t>
  </si>
  <si>
    <t>mail@14nip-polichn.thess.sch.gr</t>
  </si>
  <si>
    <t>15ο ΝΗΠΙΑΓΩΓΕΙΟ ΠΟΛΙΧΝΗΣ</t>
  </si>
  <si>
    <t>mail@15nip-polichn.thess.sch.gr</t>
  </si>
  <si>
    <t>ΤΕΡΜΑ ΑΜΑΞΟΣΤΑΣΙΟΥ ΟΑΣΘ Ν.29</t>
  </si>
  <si>
    <t>4ο ΔΗΜΟΤΙΚΟ ΣΧΟΛΕΙΟ ΩΡΑΙΟΚΑΣΤΡΟΥ</t>
  </si>
  <si>
    <t>mail@4dim-oraiok.thess.sch.gr</t>
  </si>
  <si>
    <t>4ο ΔΗΜΟΤΙΚΟ ΣΧΟΛΕΙΟ ΠΕΥΚΩΝ</t>
  </si>
  <si>
    <t>mail@4dim-pefkon.thess.sch.gr</t>
  </si>
  <si>
    <t>ΠΕΥΚΑ ΘΕΣ/ΝΙΚΗΣ</t>
  </si>
  <si>
    <t>2ο ΔΗΜΟΤΙΚΟ ΣΧΟΛΕΙΟ ΠΑΛΑΙΟΚΑΣΤΡΟΥ</t>
  </si>
  <si>
    <t>mail@2dim-palaiok.thess.sch.gr</t>
  </si>
  <si>
    <t>4ο ΔΗΜΟΤΙΚΟ ΣΧΟΛΕΙΟ ΕΥΚΑΡΠΙΑΣ</t>
  </si>
  <si>
    <t>mail@4dim-efkarp.thess.sch.gr</t>
  </si>
  <si>
    <t>N. ΠΛΑΣΤΗΡΑ  2</t>
  </si>
  <si>
    <t>3ο ΔΗΜΟΤΙΚΟ ΣΧΟΛΕΙΟ ΔΙΑΒΑΤΩΝ</t>
  </si>
  <si>
    <t>mail@3dim-diavat.thess.sch.gr</t>
  </si>
  <si>
    <t>Διαβατά</t>
  </si>
  <si>
    <t>Κανάρη  1</t>
  </si>
  <si>
    <t>25ο ΔΗΜΟΤΙΚΟ ΣΧΟΛΕΙΟ ΕΥΟΣΜΟΥ</t>
  </si>
  <si>
    <t>mail@25dim-evosm.thess.sch.gr</t>
  </si>
  <si>
    <t>ΑΝΩΘΕΝ ΠΕΡΙΦΕΡΕΙΑΚΟΥ</t>
  </si>
  <si>
    <t>31ο ΝΗΠΙΑΓΩΓΕΙΟ ΕΥΟΣΜΟΥ</t>
  </si>
  <si>
    <t>mail@31nip-evosm.thess.sch.gr</t>
  </si>
  <si>
    <t>ΔΗΜΟΚΡΑΤΙΑΣ 19</t>
  </si>
  <si>
    <t>32ο ΝΗΠΙΑΓΩΓΕΙΟ ΕΥΟΣΜΟΥ</t>
  </si>
  <si>
    <t>mail@32nip-evosm.thess.sch.gr</t>
  </si>
  <si>
    <t>ΙΘΑΚΗΣ 20</t>
  </si>
  <si>
    <t>5ο ΝΗΠΙΑΓΩΓΕΙΟ ΣΙΝΔΟΥ</t>
  </si>
  <si>
    <t>mail@5nip-sindou.thess.sch.gr</t>
  </si>
  <si>
    <t>ΚΩΣΤΗ ΠΑΛΑΜΑ 8</t>
  </si>
  <si>
    <t>5ο ΔΗΜΟΤΙΚΟ ΣΧΟΛΕΙΟ ΣΤΑΥΡΟΥΠΟΛΗΣ</t>
  </si>
  <si>
    <t>mail@5dim-stavr.thess.sch.gr</t>
  </si>
  <si>
    <t>Α. ΒΕΛΟΥΧΙΩΤΗ ΚΑΙ ΣΑΜΟΥ ΓΩΝΙΑ</t>
  </si>
  <si>
    <t>24ο ΝΗΠΙΑΓΩΓΕΙΟ ΣΤΑΥΡΟΥΠΟΛΗΣ</t>
  </si>
  <si>
    <t>mail@24nip-stavr.thess.sch.gr</t>
  </si>
  <si>
    <t>ΓΕΝΝΑΔΙΟΥ 7</t>
  </si>
  <si>
    <t>1ο ΝΗΠΙΑΓΩΓΕΙΟ  ΝΕΑΠΟΛΗΣ</t>
  </si>
  <si>
    <t>mail@1nip-neapol.thess.sch.gr</t>
  </si>
  <si>
    <t>2ο ΝΗΠΙΑΓΩΓΕΙΟ  ΝΕΑΠΟΛΗΣ</t>
  </si>
  <si>
    <t>mail@2nip-neapol.thess.sch.gr</t>
  </si>
  <si>
    <t>ΔΩΔΕΚΑΝΗΣΟΥ 97</t>
  </si>
  <si>
    <t>3ο ΝΗΠΙΑΓΩΓΕΙΟ ΝΕΑΠΟΛΗΣ</t>
  </si>
  <si>
    <t>mail@3nip-neapol.thess.sch.gr</t>
  </si>
  <si>
    <t>ΑΝΔΡΕΟΥ ΔΗΜΗΤΡΙΟΥ 2</t>
  </si>
  <si>
    <t>2ο ΔΗΜΟΤΙΚΟ ΣΧΟΛΕΙΟ  ΝΕΑΠΟΛΗΣ</t>
  </si>
  <si>
    <t>mail@2dim-neapol.thess.sch.gr</t>
  </si>
  <si>
    <t>Π. ΚΟΥΝΤΟΥΡΙΩΤΗ  12</t>
  </si>
  <si>
    <t>ΔΗΜΟΤΙΚΟ ΣΧΟΛΕΙΟ ΑΓΙΟΥ ΒΑΣΙΛΕΙΟΥ ΛΑΓΚΑΔΑ</t>
  </si>
  <si>
    <t>mail@dim-ag-vasil.thess.sch.gr</t>
  </si>
  <si>
    <t>ΑΓΙΟΣ ΒΑΣΙΛΕΙΟΣ ΛΑΓΚΑΔΑ</t>
  </si>
  <si>
    <t>ΔΗΜΟΤΙΚΟ ΣΧΟΛΕΙΟ ΚΡΥΟΝΕΡΙΟΥ ΛΑΓΚΑΔΑ ΘΕΣΣΑΛΟΝΙΚΗΣ</t>
  </si>
  <si>
    <t>mail@dim-kryon.thess.sch.gr</t>
  </si>
  <si>
    <t>5ο ΔΗΜΟΤΙΚΟ ΣΧΟΛΕΙΟ ΩΡΑΙΟΚΑΣΤΡΟΥ</t>
  </si>
  <si>
    <t>mail@5dim-oraiok.thess.sch.gr</t>
  </si>
  <si>
    <t>ΜΕΛΙΣΣΟΧΩΡΙ</t>
  </si>
  <si>
    <t>2ο ΔΗΜΟΤΙΚΟ ΣΧΟΛΕΙΟ ΝΕΑΣ ΜΑΓΝΗΣΙΑΣ</t>
  </si>
  <si>
    <t>mail@2dim-n-magn.thess.sch.gr</t>
  </si>
  <si>
    <t>ΗΡΟΔΟΤΟΥ &amp; ΠΛΟΥΤΑΡΧΟΥ</t>
  </si>
  <si>
    <t>ΟΛΟΗΜΕΡΟ ΔΗΜΟΤΙΚΟ ΣΧΟΛΕΙΟ ΑΚΡΟΠΟΤΑΜΟΥ</t>
  </si>
  <si>
    <t>mail@dim-akrop.thess.sch.gr</t>
  </si>
  <si>
    <t>ΑΚΡΟΠΟΤΑΜΟΣ</t>
  </si>
  <si>
    <t>6ο ΝΗΠΙΑΓΩΓΕΊΟ ΩΡΑΙΟΚΑΣΤΡΟΥ</t>
  </si>
  <si>
    <t>mail@6nip-oraiok.thess.sch.gr</t>
  </si>
  <si>
    <t>ΚΑΒΑΣΙΤΟΥ-ΒΕΝΙΖΕΛΟΥ</t>
  </si>
  <si>
    <t>6ο ΝΗΠΙΑΓΩΓΕΙΟ ΜΕΝΕΜΕΝΗΣ</t>
  </si>
  <si>
    <t>mail@6nip-menem.thess.sch.gr</t>
  </si>
  <si>
    <t>ΔΗΜ. ΓΛΗΝΟΥ 1-ΝΙΚ. ΚΑΖΑΝΤΖΑΚΗ 2</t>
  </si>
  <si>
    <t>33ο ΝΗΠΙΑΓΩΓΕΙΟ ΕΥΟΣΜΟΥ</t>
  </si>
  <si>
    <t>mail@33nip-evosm.thess.sch.gr</t>
  </si>
  <si>
    <t>K. ΔΙΟΛΕΤΖΗ 8</t>
  </si>
  <si>
    <t>34ο ΝΗΠΙΑΓΩΓΕΙΟ ΕΥΟΣΜΟΥ</t>
  </si>
  <si>
    <t>mail@34nip-evosm.thess.sch.gr</t>
  </si>
  <si>
    <t>ΕΥΟΣΜΟΣ- ΘΕΣΣΑΛΟΝΙΚΗ</t>
  </si>
  <si>
    <t>ΛΟΥΚΙΑΝΟΥ 27</t>
  </si>
  <si>
    <t>Π.Ε. ΗΜΑΘΙΑΣ</t>
  </si>
  <si>
    <t>9ο ΝΗΠΙΑΓΩΓΕΙΟ ΒΕΡΟΙΑΣ</t>
  </si>
  <si>
    <t>mail@9nip-veroias.ima.sch.gr</t>
  </si>
  <si>
    <t>ΒΕΡΟΙΑΣ</t>
  </si>
  <si>
    <t>ΠΡΟΥΣΣΗΣ 9</t>
  </si>
  <si>
    <t>1ο ΔΗΜΟΤΙΚΟ ΣΧΟΛΕΙΟ ΝΑΟΥΣΑΣ</t>
  </si>
  <si>
    <t>mail@1dim-naous.ima.sch.gr</t>
  </si>
  <si>
    <t>ΗΡΩΙΚΗΣ ΠΟΛΕΩΣ ΝΑΟΥΣΑΣ</t>
  </si>
  <si>
    <t>ΝΑΟΥΣΑ</t>
  </si>
  <si>
    <t>ΒΕΝΙΖΕΛΟΥ 3</t>
  </si>
  <si>
    <t>3ο ΝΗΠΙΑΓΩΓΕΙΟ ΒΕΡΟΙΑΣ</t>
  </si>
  <si>
    <t>mail@3nip-veroias.ima.sch.gr</t>
  </si>
  <si>
    <t>16ης Οκτωβρίου 5</t>
  </si>
  <si>
    <t>9ο ΝΗΠΙΑΓΩΓΕΙΟ ΝΑΟΥΣΑΣ</t>
  </si>
  <si>
    <t>mail@9nip-naous.ima.sch.gr</t>
  </si>
  <si>
    <t>ΘΑΛΕΙΑΣ ΣΑΜΑΡΑ 6</t>
  </si>
  <si>
    <t>9ο ΔΗΜΟΤΙΚΟ ΣΧΟΛΕΙΟ ΝΑΟΥΣΑΣ - ΘΑΛΕΙΑ ΣΑΜΑΡΑ</t>
  </si>
  <si>
    <t>9dimnaou@sch.gr</t>
  </si>
  <si>
    <t>Θ.ΣΑΜΑΡΑ 6</t>
  </si>
  <si>
    <t>7ο ΝΗΠΙΑΓΩΓΕΙΟ ΒΕΡΟΙΑΣ</t>
  </si>
  <si>
    <t>mail@7nip-veroias.ima.sch.gr</t>
  </si>
  <si>
    <t>ΛΥΣΙΟΥ 1</t>
  </si>
  <si>
    <t>6ο ΔΗΜΟΤΙΚΟ ΣΧΟΛΕΙΟ ΝΑΟΥΣΑΣ</t>
  </si>
  <si>
    <t>mail@6dim-naous.ima.sch.gr</t>
  </si>
  <si>
    <t>Β΄ ΠΑΡΟΔΟΣ ΑΡ. ΚΟΚΚΙΝΟΥ 17</t>
  </si>
  <si>
    <t>2ο ΝΗΠΙΑΓΩΓΕΙΟ ΝΑΟΥΣΑΣ</t>
  </si>
  <si>
    <t>mail@2nip-naous.ima.sch.gr</t>
  </si>
  <si>
    <t>ΝΑΟΥΣΑΣ</t>
  </si>
  <si>
    <t>ΜΑΛΑΜΟΥ 4</t>
  </si>
  <si>
    <t>4ο ΝΗΠΙΑΓΩΓΕΙΟ ΝΑΟΥΣΑΣ - ΣΕΦΕΡΤΖΕΙΟ</t>
  </si>
  <si>
    <t>mail@4nip-naous.ima.sch.gr</t>
  </si>
  <si>
    <t>ΠΛΑΤΕΙΑ ΗΡΩΩΝ ΠΟΛΥΤΕΧΝΕΙΟΥ</t>
  </si>
  <si>
    <t>8ο ΝΗΠΙΑΓΩΓΕΙΟ ΝΑΟΥΣΑΣ</t>
  </si>
  <si>
    <t>mail@8nip-naous.ima.sch.gr</t>
  </si>
  <si>
    <t>2ο ΝΗΠΙΑΓΩΓΕΙΟ ΒΕΡΟΙΑΣ - ΜΕΛΕΤΕΙΟ</t>
  </si>
  <si>
    <t>mail@2nip-veroias.ima.sch.gr</t>
  </si>
  <si>
    <t>ΑΡΙΣΤΟΤΕΛΟΥΣ 7</t>
  </si>
  <si>
    <t>1ο ΝΗΠΙΑΓΩΓΕΙΟ ΒΕΡΟΙΑΣ</t>
  </si>
  <si>
    <t>mail@1nip-veroias.ima.sch.gr</t>
  </si>
  <si>
    <t>ΚΟΝΤΟΓΕΩΡΓΑΚΗ 15</t>
  </si>
  <si>
    <t>12ο ΝΗΠΙΑΓΩΓΕΙΟ ΒΕΡΟΙΑΣ</t>
  </si>
  <si>
    <t>mail@12nip-veroias.ima.sch.gr</t>
  </si>
  <si>
    <t>ΒΕΡΟΙΑ</t>
  </si>
  <si>
    <t>ΠΙΕΡΙΩΝ 10</t>
  </si>
  <si>
    <t>4ο ΝΗΠΙΑΓΩΓΕΙΟ ΒΕΡΟΙΑΣ</t>
  </si>
  <si>
    <t>mail@4nip-veroias.ima.sch.gr</t>
  </si>
  <si>
    <t>ΞΕΝΟΦΩΝΤΟΣ 11</t>
  </si>
  <si>
    <t>5ο ΝΗΠΙΑΓΩΓΕΙΟ ΒΕΡΟΙΑΣ</t>
  </si>
  <si>
    <t>mail@5nip-veroias.ima.sch.gr</t>
  </si>
  <si>
    <t>ΑΚΡΟΠΟΛΕΩΣ 12</t>
  </si>
  <si>
    <t>8ο ΝΗΠΙΑΓΩΓΕΙΟ ΒΕΡΟΙΑΣ</t>
  </si>
  <si>
    <t>mail@8nip-veroias.ima.sch.gr</t>
  </si>
  <si>
    <t>ΗΜΑΘΙΩΝΟΣ 2</t>
  </si>
  <si>
    <t>10ο ΝΗΠΙΑΓΩΓΕΙΟ ΒΕΡΟΙΑΣ</t>
  </si>
  <si>
    <t>mail@10nip-veroias.ima.sch.gr</t>
  </si>
  <si>
    <t>ΑΝΑΓΝΩΣΤΟΠΟΥΛΟΥ 2</t>
  </si>
  <si>
    <t>7ο ΝΗΠΙΑΓΩΓΕΙΟ ΑΛΕΞΑΝΔΡΕΙΑΣ</t>
  </si>
  <si>
    <t>mail@7nip-alexandr.ima.sch.gr</t>
  </si>
  <si>
    <t>ΑΛΕΞΑΝΔΡΕΙΑΣ</t>
  </si>
  <si>
    <t>Α.ΠΑΠΑΓΟΥ 41</t>
  </si>
  <si>
    <t>6ο ΔΗΜΟΤΙΚΟ ΣΧΟΛΕΙΟ ΒΕΡΟΙΑΣ</t>
  </si>
  <si>
    <t>mail@6dim-veroias.ima.sch.gr</t>
  </si>
  <si>
    <t>ΚΑΡΑΤΑΣΟΥ 16</t>
  </si>
  <si>
    <t>6ο ΝΗΠΙΑΓΩΓΕΙΟ ΒΕΡΟΙΑΣ</t>
  </si>
  <si>
    <t>6nipver@sch.gr</t>
  </si>
  <si>
    <t>ΚΑΡΑΤΑΣΟΥ 14</t>
  </si>
  <si>
    <t>3ο ΔΗΜΟΤΙΚΟ ΣΧΟΛΕΙΟ ΝΑΟΥΣΑΣ - ΓΑΛΑΚΕΙΑ</t>
  </si>
  <si>
    <t>mail@3dim-naous.ima.sch.gr</t>
  </si>
  <si>
    <t>ΧΑΤΖΗΚΟΥΡΚΟΥΤΑ 19</t>
  </si>
  <si>
    <t>5ο ΔΗΜΟΤΙΚΟ ΣΧΟΛΕΙΟ ΒΕΡΟΙΑΣ</t>
  </si>
  <si>
    <t>mail@5dim-veroias.ima.sch.gr</t>
  </si>
  <si>
    <t>10ο ΔΗΜΟΤΙΚΟ ΣΧΟΛΕΙΟ ΝΑΟΥΣΑΣ</t>
  </si>
  <si>
    <t>mail@10dim-naous.ima.sch.gr</t>
  </si>
  <si>
    <t>Κ. ΒΑΡΝΑΛΗ  27</t>
  </si>
  <si>
    <t>4ο ΔΗΜΟΤΙΚΟ ΣΧΟΛΕΙΟ ΒΕΡΟΙΑΣ</t>
  </si>
  <si>
    <t>mail@4dim-veroias.ima.sch.gr</t>
  </si>
  <si>
    <t>1ο ΝΗΠΙΑΓΩΓΕΙΟ ΑΛΕΞΑΝΔΡΕΙΑΣ</t>
  </si>
  <si>
    <t>mail@1nip-alexandr.ima.sch.gr</t>
  </si>
  <si>
    <t>ΓΡΗΓΟΡΙΟΥ ΛΑΜΠΡΑΚΗ 49</t>
  </si>
  <si>
    <t>2ο ΝΗΠΙΑΓΩΓΕΙΟ ΑΛΕΞΑΝΔΡΕΙΑΣ</t>
  </si>
  <si>
    <t>mail@2nip-alexandr.ima.sch.gr</t>
  </si>
  <si>
    <t>ΟΙΚΟΝΟΜΟΠΟΥΛΟΥ 5</t>
  </si>
  <si>
    <t>6ο ΝΗΠΙΑΓΩΓΕΙΟ ΑΛΕΞΑΝΔΡΕΙΑΣ</t>
  </si>
  <si>
    <t>mail@6nip-alexandr.ima.sch.gr</t>
  </si>
  <si>
    <t>ΜΑΚΕΔΟΝΟΜΑΧΩΝ 12</t>
  </si>
  <si>
    <t>3ο ΔΗΜΟΤΙΚΟ ΣΧΟΛΕΙΟ ΜΑΚΡΟΧΩΡΙΟΥ</t>
  </si>
  <si>
    <t>3dimmakrima@sch.gr</t>
  </si>
  <si>
    <t>ΜΑΚΡΟΧΩΡΙ ΗΜΑΘΙΑΣ</t>
  </si>
  <si>
    <t>4ο ΔΗΜΟΤΙΚΟ ΣΧΟΛΕΙΟ ΝΑΟΥΣΑΣ</t>
  </si>
  <si>
    <t>mail@4dim-naous.ima.sch.gr</t>
  </si>
  <si>
    <t>4ο ΝΗΠΙΑΓΩΓΕΙΟ ΑΛΕΞΑΝΔΡΕΙΑΣ</t>
  </si>
  <si>
    <t>mail@4nip-alexandr.ima.sch.gr</t>
  </si>
  <si>
    <t>ΑΛΕΞΑΝΔΡΕΙΑ</t>
  </si>
  <si>
    <t>ΠΑΝΑΓΗ ΤΣΑΛΔΑΡΗ 45</t>
  </si>
  <si>
    <t>ΔΗΜΟΤΙΚΟ ΣΧΟΛΕΙΟ ΜΟΝΟΣΠΙΤΩΝ - ΧΑΡΙΕΣΣΑΣ</t>
  </si>
  <si>
    <t>mail@dim-monosp.ima.sch.gr</t>
  </si>
  <si>
    <t>ΜΟΝΟΣΠΙΤΩΝ - ΧΑΡΙΕΣΣΑΣ</t>
  </si>
  <si>
    <t>ΜΟΝΟΣΠΙΤΑ</t>
  </si>
  <si>
    <t>1ο ΝΗΠΙΑΓΩΓΕΙΟ ΜΕΛΙΚΗΣ</t>
  </si>
  <si>
    <t>mail@1nip-melik.ima.sch.gr</t>
  </si>
  <si>
    <t>ΜΕΛΙΚΗΣ</t>
  </si>
  <si>
    <t>ΠΑΠΑΦΛΕΣΣΑ 4</t>
  </si>
  <si>
    <t>ΔΗΜΟΤΙΚΟ ΣΧΟΛΕΙΟ ΑΓΚΑΘΙΑΣ-ΚΥΨΕΛΗΣ</t>
  </si>
  <si>
    <t>mail@dim-agath.ima.sch.gr</t>
  </si>
  <si>
    <t>ΑΓΚΑΘΙΑ</t>
  </si>
  <si>
    <t>Θ. ΣΟΦΟΥΛΗ 2</t>
  </si>
  <si>
    <t>1ο ΔΗΜΟΤΙΚΟ ΣΧΟΛΕΙΟ ΒΕΡΟΙΑΣ</t>
  </si>
  <si>
    <t>1dimver@sch.gr</t>
  </si>
  <si>
    <t>KONTOΓΕΩΡΓΑΚΗ 15</t>
  </si>
  <si>
    <t>3ο ΝΗΠΙΑΓΩΓΕΙΟ ΑΛΕΞΑΝΔΡΕΙΑΣ</t>
  </si>
  <si>
    <t>mail@3nip-alexandr.ima.sch.gr</t>
  </si>
  <si>
    <t>ΘΕΜΙΣΤΟΚΛΗ ΣΟΦΟΥΛΗ 19</t>
  </si>
  <si>
    <t>ΔΗΜΟΤΙΚΟ ΣΧΟΛΕΙΟ ΑΓΙΑΣ ΜΑΡΙΝΑΣ - ΤΡΙΛΟΦΟΥ</t>
  </si>
  <si>
    <t>mail@dim-ag-marin.ima.sch.gr</t>
  </si>
  <si>
    <t>ΑΓΙΑ ΜΑΡΙΝΑ (Βέροια-Ημαθίας)</t>
  </si>
  <si>
    <t>8ο ΔΗΜΟΤΙΚΟ ΣΧΟΛΕΙΟ ΒΕΡΟΙΑΣ</t>
  </si>
  <si>
    <t>mail@8dim-veroias.ima.sch.gr</t>
  </si>
  <si>
    <t>16ο ΔΗΜΟΤΙΚΟ ΣΧΟΛΕΙΟ ΒΕΡΟΙΑΣ</t>
  </si>
  <si>
    <t>mail@16dim-veroias.ima.sch.gr</t>
  </si>
  <si>
    <t>5ο ΔΗΜΟΤΙΚΟ ΣΧΟΛΕΙΟ ΝΑΟΥΣΑΣ</t>
  </si>
  <si>
    <t>mail@5dim-naous.ima.sch.gr</t>
  </si>
  <si>
    <t>ΑΡΓΥΡΟΥΠΟΛΕΩΣ 7</t>
  </si>
  <si>
    <t>7ο ΔΗΜΟΤΙΚΟ ΣΧΟΛΕΙΟ ΒΕΡΟΙΑΣ</t>
  </si>
  <si>
    <t>mail@7dim-veroias.ima.sch.gr</t>
  </si>
  <si>
    <t>2ο ΔΗΜΟΤΙΚΟ ΣΧΟΛΕΙΟ ΑΛΕΞΑΝΔΡΕΙΑΣ</t>
  </si>
  <si>
    <t>mail@2dim-alexandr.ima.sch.gr</t>
  </si>
  <si>
    <t>25ης ΜΑΡΤΙΟΥ 45</t>
  </si>
  <si>
    <t>4ο ΔΗΜΟΤΙΚΟ ΣΧΟΛΕΙΟ ΑΛΕΞΑΝΔΡΕΙΑΣ</t>
  </si>
  <si>
    <t>mail@4dim-alexandr.ima.sch.gr</t>
  </si>
  <si>
    <t>ΕΛ.ΒΕΝΙΖΕΛΟΥ 7</t>
  </si>
  <si>
    <t>ΔΗΜΟΤΙΚΟ ΣΧΟΛΕΙΟ ΚΟΡΥΦΗΣ ΗΜΑΘΙΑΣ</t>
  </si>
  <si>
    <t>mail@dim-koryf.ima.sch.gr</t>
  </si>
  <si>
    <t>ΚΟΡΥΦΗ</t>
  </si>
  <si>
    <t>ΙΩΝΟΣ ΔΡΑΓΟΥΜΗ</t>
  </si>
  <si>
    <t>6ο ΔΗΜΟΤΙΚΟ ΣΧΟΛΕΙΟ ΑΛΕΞΑΝΔΡΕΙΑΣ</t>
  </si>
  <si>
    <t>mail@6dim-alexandr.ima.sch.gr</t>
  </si>
  <si>
    <t>ΕΙΚΟΣΤΗΣ ΠΕΜΠΤΗΣ ΜΑΡΤΙΟΥ 45</t>
  </si>
  <si>
    <t>6/Θ ΔΗΜΟΤΙΚΟ ΣΧΟΛΕΙΟ ΛΙΑΝΟΒΕΡΓΙΟΥ-ΑΡΑΧΟΥ - ΛΙΑΝΟΒΕΡΓΙ</t>
  </si>
  <si>
    <t>mail@dim-lianov.ima.sch.gr</t>
  </si>
  <si>
    <t>ΛΙΑΝΟΒΕΡΓΙ</t>
  </si>
  <si>
    <t>ΔΗΜΟΤΙΚΟ ΣΧΟΛΕΙΟ ΞΕΧΑΣΜΕΝΗΣ - ΚΕΦΑΛΟΧΩΡΙΟΥ</t>
  </si>
  <si>
    <t>mail@dim-ksech.ima.sch.gr</t>
  </si>
  <si>
    <t>Ξεχασμένη Ημαθίας, Δημοτική Ενότητα Αντιγονιδών, Δήμος Αλεξάνδρειας</t>
  </si>
  <si>
    <t>Οδός Βασιλίσσης Όλγας</t>
  </si>
  <si>
    <t>7ο ΔΗΜΟΤΙΚΟ ΣΧΟΛΕΙΟ ΑΛΕΞΑΝΔΡΕΙΑΣ</t>
  </si>
  <si>
    <t>mail@7dim-alexandr.ima.sch.gr</t>
  </si>
  <si>
    <t>ΘΕΜΙΣΤΟΚΛΗ ΣΟΦΟΥΛΗ 2</t>
  </si>
  <si>
    <t>2ο ΔΗΜΟΤΙΚΟ ΣΧΟΛΕΙΟ ΜΕΛΙΚΗΣ</t>
  </si>
  <si>
    <t>mail@2dim-melik.ima.sch.gr</t>
  </si>
  <si>
    <t>ΜΕΛΙΚΗ</t>
  </si>
  <si>
    <t>ΚΕΝΤΡΙΚΗΣ - ΔΑΒΑΚΗ</t>
  </si>
  <si>
    <t>ΔΗΜΟΤΙΚΟ ΣΧΟΛΕΙΟ ΚΟΠΑΝΟΥ</t>
  </si>
  <si>
    <t>mail@dim-kopan.ima.sch.gr</t>
  </si>
  <si>
    <t>ΚΟΠΑΝΟΣ</t>
  </si>
  <si>
    <t>1ο ΔΗΜΟΤΙΚΟ ΣΧΟΛΕΙΟ ΜΕΛΙΚΗΣ</t>
  </si>
  <si>
    <t>mail@1dim-melik.ima.sch.gr</t>
  </si>
  <si>
    <t>ΔΗΜΟΤΙΚΟ ΣΧΟΛΕΙΟ ΕΠΙΣΚΟΠΗΣ ΝΑΟΥΣΑΣ</t>
  </si>
  <si>
    <t>mail@dim-episk.ima.sch.gr</t>
  </si>
  <si>
    <t>ΕΠΙΣΚΟΠΗ ΝΑΟΥΣΑΣ</t>
  </si>
  <si>
    <t>ΕΡΜΟΥ 32</t>
  </si>
  <si>
    <t>ΔΗΜΟΤΙΚΟ ΣΧΟΛΕΙΟ ΑΓΓΕΛΟΧΩΡΙΟΥ</t>
  </si>
  <si>
    <t>mail@dim-angel.ima.sch.gr</t>
  </si>
  <si>
    <t>ΑΓΓΕΛΟΧΩΡΙ</t>
  </si>
  <si>
    <t>Λ. ΕΙΡΗΝΗΣ 167</t>
  </si>
  <si>
    <t>9ο ΔΗΜΟΤΙΚΟ ΣΧΟΛΕΙΟ ΒΕΡΟΙΑΣ</t>
  </si>
  <si>
    <t>9dimverima@sch.gr</t>
  </si>
  <si>
    <t>ΠΡΟΥΣΗΣ 9</t>
  </si>
  <si>
    <t>3ο ΔΗΜΟΤΙΚΟ ΣΧΟΛΕΙΟ ΒΕΡΟΙΑΣ</t>
  </si>
  <si>
    <t>mail@3dim-veroias.ima.sch.gr</t>
  </si>
  <si>
    <t>ΑΠΟΣΤΟΛΟΥ ΠΑΥΛΟΥ 1</t>
  </si>
  <si>
    <t>2ο ΔΗΜΟΤΙΚΟ ΣΧΟΛΕΙΟ ΒΕΡΟΙΑΣ</t>
  </si>
  <si>
    <t>mail@2dim-veroias.ima.sch.gr</t>
  </si>
  <si>
    <t>ΑΡΙΣΤΟΤΕΛΟΥΣ 2Α</t>
  </si>
  <si>
    <t>1ο ΔΗΜΟΤΙΚΟ ΣΧΟΛΕΙΟ ΑΛΕΞΑΝΔΡΕΙΑΣ</t>
  </si>
  <si>
    <t>mail@1dim-alexandr.ima.sch.gr</t>
  </si>
  <si>
    <t>ΝΙΚΟΛΑΟΥ ΕΥΑΓΓΕΛΑ 13</t>
  </si>
  <si>
    <t>5ο ΔΗΜΟΤΙΚΟ ΣΧΟΛΕΙΟ ΑΛΕΞΑΝΔΡΕΙΑΣ</t>
  </si>
  <si>
    <t>mail@5dim-alexandr.ima.sch.gr</t>
  </si>
  <si>
    <t>Ν. ΕΥΑΓΓΕΛΑ 13</t>
  </si>
  <si>
    <t>ΔΗΜΟΤΙΚΟ ΣΧΟΛΕΙΟ ΚΑΜΠΟΧΩΡΙΟΥ - ΒΡΥΣΑΚΙΟΥ</t>
  </si>
  <si>
    <t>mail@dim-vrysak.ima.sch.gr</t>
  </si>
  <si>
    <t>ΚΑΜΠΟΧΩΡΙΟΥ - ΒΡΥΣΑΚΙΟΥ</t>
  </si>
  <si>
    <t>ΚΑΜΠΟΧΩΡΙ</t>
  </si>
  <si>
    <t>ΔΗΜΟΤΙΚΟ ΣΧΟΛΕΙΟ ΤΡΙΚΑΛΩΝ ΗΜΑΘΙΑΣ</t>
  </si>
  <si>
    <t>mail@dim-trikal.ima.sch.gr</t>
  </si>
  <si>
    <t>Τρίκαλα Ημαθίας</t>
  </si>
  <si>
    <t>ΔΗΜΟΤΙΚΟ ΣΧΟΛΕΙΟ ΜΑΡΙΝΑΣ-Π.ΝΕΡΩΝ-ΓΙΑΝΝΑΚΟΧΩΡΙΟΥ</t>
  </si>
  <si>
    <t>mail@dim-marin.ima.sch.gr</t>
  </si>
  <si>
    <t>ΜΑΡΙΝΑ</t>
  </si>
  <si>
    <t>12ο ΔΗΜΟΤΙΚΟ ΣΧΟΛΕΙΟ ΒΕΡΟΙΑΣ</t>
  </si>
  <si>
    <t>mail@12dim-veroias.ima.sch.gr</t>
  </si>
  <si>
    <t>7ο ΔΗΜΟΤΙΚΟ ΣΧΟΛΕΙΟ ΝΑΟΥΣΑΣ</t>
  </si>
  <si>
    <t>mail@7dim-naous.ima.sch.gr</t>
  </si>
  <si>
    <t>ΕΛ. ΒΕΝΙΖΕΛΟΥ 4</t>
  </si>
  <si>
    <t>10ο ΔΗΜΟΤΙΚΟ ΣΧΟΛΕΙΟ ΒΕΡΟΙΑΣ</t>
  </si>
  <si>
    <t>mail@10dim-veroias.ima.sch.gr</t>
  </si>
  <si>
    <t>ΡΩΜΑΝΟΥ Δ΄ ΔΙΟΓΕΝΗ 5</t>
  </si>
  <si>
    <t>8ο ΔΗΜΟΤΙΚΟ ΣΧΟΛΕΙΟ ΝΑΟΥΣΑΣ</t>
  </si>
  <si>
    <t>mail@8dim-naous.ima.sch.gr</t>
  </si>
  <si>
    <t>ΑΓΙΟΥ ΝΙΚΟΛΑΟΥ 80</t>
  </si>
  <si>
    <t>ΔΗΜΟΤΙΚΟ ΣΧΟΛΕΙΟ Ν. ΝΙΚΟΜΗΔΕΙΑΣ - Ν. &amp; Π. ΛΥΚΟΓΙΑΝΝΗΣ - ΛΑΖΟΧΩΡΙΟΥ - ΤΑΓΑΡΟΧΩΡΙΟΥ</t>
  </si>
  <si>
    <t>mail@dim-n-lykog.ima.sch.gr</t>
  </si>
  <si>
    <t>ΝΕΑ ΛΥΚΟΓΙΑΝΝΗ</t>
  </si>
  <si>
    <t>ΔΗΜΟΤΙΚΟ ΣΧΟΛΕΙΟ ΚΟΥΛΟΥΡΑΣ</t>
  </si>
  <si>
    <t>mail@dim-koulour.ima.sch.gr</t>
  </si>
  <si>
    <t>ΚΟΥΛΟΥΡΑ</t>
  </si>
  <si>
    <t>1ο ΔΗΜΟΤΙΚΟ ΣΧΟΛΕΙΟ ΜΑΚΡΟΧΩΡΙΟΥ</t>
  </si>
  <si>
    <t>mail@1dim-makroch.ima.sch.gr</t>
  </si>
  <si>
    <t>ΜΕΓΑΛΟΥ ΑΛΕΞΑΝΔΡΟΥ 9</t>
  </si>
  <si>
    <t>3ο ΔΗΜΟΤΙΚΟ ΣΧΟΛΕΙΟ ΑΛΕΞΑΝΔΡΕΙΑΣ</t>
  </si>
  <si>
    <t>mail@3dim-alexandr.ima.sch.gr</t>
  </si>
  <si>
    <t>ΔΗΜΟΤΙΚΟ ΣΧΟΛΕΙΟ ΚΛΕΙΔΙΟΥ</t>
  </si>
  <si>
    <t>mail@dim-kleid.ima.sch.gr</t>
  </si>
  <si>
    <t>ΚΛΕΙΔΙ</t>
  </si>
  <si>
    <t>ΚΛΕΙΔΙ ΗΜΑΘΙΑΣ</t>
  </si>
  <si>
    <t>2ο ΔΗΜΟΤΙΚΟ ΣΧΟΛΕΙΟ ΜΑΚΡΟΧΩΡΙΟΥ</t>
  </si>
  <si>
    <t>mail@2dim-makroch.ima.sch.gr</t>
  </si>
  <si>
    <t>ΜΑΚΡΟΧΩΡΙ</t>
  </si>
  <si>
    <t>28ης ΟΚΤΩΒΡΙΟΥ</t>
  </si>
  <si>
    <t>ΔΗΜΟΤΙΚΟ ΣΧΟΛΕΙΟ ΑΓΙΑΣ ΒΑΡΒΑΡΑΣ</t>
  </si>
  <si>
    <t>mail@dim-ag-varvar.ima.sch.gr</t>
  </si>
  <si>
    <t>ΔΗΜΟΤΙΚΟ ΣΧΟΛΕΙΟ ΒΕΡΓΙΝΑΣ-ΠΑΛΑΤΙΤΣΙΩΝ</t>
  </si>
  <si>
    <t>dimvergin@sch.gr</t>
  </si>
  <si>
    <t>ΒΕΡΓΙΝΑ-ΠΑΛΑΤΙΤΣΙΑ</t>
  </si>
  <si>
    <t>ΔΗΜΟΤΙΚΟ ΣΧΟΛΕΙΟ ΠΑΤΡΙΔΑΣ ΗΜΑΘΙΑΣ</t>
  </si>
  <si>
    <t>mail@dim-patrid.ima.sch.gr</t>
  </si>
  <si>
    <t>ΠΑΤΡΙΔΑ</t>
  </si>
  <si>
    <t>ΔΑΜΙΑΝΟΥ ΔΑΜΙΑΝΙΔΗ 2</t>
  </si>
  <si>
    <t>ΔΗΜΟΤΙΚΟ ΣΧΟΛΕΙΟ ΑΓΙΟΥ ΓΕΩΡΓΙΟΥ ΗΜΑΘΙΑΣ</t>
  </si>
  <si>
    <t>mail@dim-ag-georg.ima.sch.gr</t>
  </si>
  <si>
    <t>ΑΓΙΟΣ ΓΕΩΡΓΙΟΣ</t>
  </si>
  <si>
    <t>Αγιος Γεώργιος.Ταμπακόπουλου 20.</t>
  </si>
  <si>
    <t>ΔΗΜΟΤΙΚΟ ΣΧΟΛΕΙΟ ΠΛΑΤΕΟΣ ΗΜΑΘΙΑΣ</t>
  </si>
  <si>
    <t>mail@dim-plateos.ima.sch.gr</t>
  </si>
  <si>
    <t>ΠΛΑΤΥ ΗΜΑΘΙΑΣ</t>
  </si>
  <si>
    <t>Π.Ε. ΚΙΛΚΙΣ</t>
  </si>
  <si>
    <t>2ο ΔΗΜΟΤΙΚΟ ΣΧΟΛΕΙΟ ΓΟΥΜΕΝΙΣΣΑΣ</t>
  </si>
  <si>
    <t>mail@2dim-goumen.kil.sch.gr</t>
  </si>
  <si>
    <t>ΠΑΙΟΝΙΑΣ</t>
  </si>
  <si>
    <t>ΓΟΥΜΕΝΙΣΣΑ</t>
  </si>
  <si>
    <t>ΑΝΑΤΟΛΙΚΗΣ ΡΩΜΥΛΙΑΣ 30</t>
  </si>
  <si>
    <t>ΝΗΠΙΑΓΩΓΕΙΟ ΕΥΚΑΡΠΙΑΣ ΚΙΛΚΙΣ</t>
  </si>
  <si>
    <t>mail@nip-efkarp.kil.sch.gr</t>
  </si>
  <si>
    <t>ΚΙΛΚΙΣ</t>
  </si>
  <si>
    <t>ΝΗΠΙΑΓΩΓΕΙΟ ΑΓΙΟΣ ΠΕΤΡΟΣ</t>
  </si>
  <si>
    <t>mail@nip-ag-petrou.kil.sch.gr</t>
  </si>
  <si>
    <t>ΑΓΙΟΣ ΠΕΤΡΟΣ</t>
  </si>
  <si>
    <t>ΝΗΠΙΑΓΩΓΕΙΟ ΝΕΑΣ ΣΑΝΤΑΣ</t>
  </si>
  <si>
    <t>mail@nip-n-santas.kil.sch.gr</t>
  </si>
  <si>
    <t>ΝΕΑ ΣΑΝΤΑΣ</t>
  </si>
  <si>
    <t>ΝΕΑ ΣΑΝΤΑ</t>
  </si>
  <si>
    <t>2ο ΝΗΠΙΑΓΩΓΕΙΟ ΓΟΥΜΕΝΙΣΣΑΣ</t>
  </si>
  <si>
    <t>mail@2nip-goumen.kil.sch.gr</t>
  </si>
  <si>
    <t>3ο ΝΗΠΙΑΓΩΓΕΙΟ ΠΟΛΥΚΑΣΤΡΟ</t>
  </si>
  <si>
    <t>mail@3nip-polyk.kil.sch.gr</t>
  </si>
  <si>
    <t>ΠΟΛΥΚΑΣΤΡΟ</t>
  </si>
  <si>
    <t>1ο ΝΗΠΙΑΓΩΓΕΙΟ ΠΟΛΥΚΑΣΤΡΟΥ</t>
  </si>
  <si>
    <t>mail@1nip-polyk.kil.sch.gr</t>
  </si>
  <si>
    <t>ΑΜΠΕΛIA</t>
  </si>
  <si>
    <t>1ο ΔΗΜΟΤΙΚΟ ΣΧΟΛΕΙΟ ΓΟΥΜΕΝΙΣΣΑΣ</t>
  </si>
  <si>
    <t>mail@1dim-goumen.kil.sch.gr</t>
  </si>
  <si>
    <t>ΚΑΠΕΤΑΝ ΓΚΟΝΟΥ 65</t>
  </si>
  <si>
    <t>2ο ΝΗΠΙΑΓΩΓΕΙΟ ΠΟΛΥΚΑΣΤΡΟΥ</t>
  </si>
  <si>
    <t>mail@2nip-polyk.kil.sch.gr</t>
  </si>
  <si>
    <t>ΔΑΒΑΚΗ 11</t>
  </si>
  <si>
    <t>1ο ΔΗΜΟΤΙΚΟ ΣΧΟΛΕΙΟ ΚΙΛΚΙΣ</t>
  </si>
  <si>
    <t>mail@1dim-kilkis.kil.sch.gr</t>
  </si>
  <si>
    <t>ΚΑΡΑΟΛΗ - ΔΗΜΗΤΡΙΟΥ 20</t>
  </si>
  <si>
    <t>6ο ΔΗΜΟΤΙΚΟ ΣΧΟΛΕΙΟ ΚΙΛΚΙΣ</t>
  </si>
  <si>
    <t>mail@6dim-kilkis.kil.sch.gr</t>
  </si>
  <si>
    <t>ΚΑΡΑΟΛΗ ΔΗΜΗΤΡΙΟΥ 20</t>
  </si>
  <si>
    <t>ΔΗΜΟΤΙΚΟ ΣΧΟΛΕΙΟ ΚΑΜΠΑΝΗ</t>
  </si>
  <si>
    <t>mail@dim-kampan.kil.sch.gr</t>
  </si>
  <si>
    <t>ΚΑΜΠΑΝΗΣ</t>
  </si>
  <si>
    <t>ΝΗΠΙΑΓΩΓΕΙΟ ΧΕΡΣΟΥ</t>
  </si>
  <si>
    <t>mail@nip-chers.kil.sch.gr</t>
  </si>
  <si>
    <t>ΧΕΡΣΟΥ</t>
  </si>
  <si>
    <t>ΧΕΡΣΟ</t>
  </si>
  <si>
    <t>ΔΗΜΟΤΙΚΟ ΣΧΟΛΕΙΟ ΕΥΡΩΠΟΥ</t>
  </si>
  <si>
    <t>mail@dim-evrop.kil.sch.gr</t>
  </si>
  <si>
    <t>ΕΥΡΩΠΟΣ</t>
  </si>
  <si>
    <t>1ο ΝΗΠΙΑΓΩΓΕΙΟ ΚΙΛΚΙΣ</t>
  </si>
  <si>
    <t>mail@1nip-kilkis.kil.sch.gr</t>
  </si>
  <si>
    <t>ΔΗΜΟΤΙΚΟ ΣΧΟΛΕΙΟ ΜΕΓΑΛΗΣ ΒΡΥΣΗΣ</t>
  </si>
  <si>
    <t>mail@dim-m-vrysis.kil.sch.gr</t>
  </si>
  <si>
    <t>ΜΕΓΑΛΗ ΒΡΥΣΗ</t>
  </si>
  <si>
    <t>7ο ΝΗΠΙΑΓΩΓΕΙΟ ΚΙΛΚΙΣ</t>
  </si>
  <si>
    <t>mail@7nip-kilkis.kil.sch.gr</t>
  </si>
  <si>
    <t>1ο ΔΗΜΟΤΙΚΟ ΣΧΟΛΕΙΟ ΠΟΛΥΚΑΣΤΡΟΥ</t>
  </si>
  <si>
    <t>mail@1dim-polyk.kil.sch.gr</t>
  </si>
  <si>
    <t>Πολύκαστρο</t>
  </si>
  <si>
    <t>5ο ΔΗΜΟΤΙΚΟ ΣΧΟΛΕΙΟ ΚΙΛΚΙΣ</t>
  </si>
  <si>
    <t>mail@5dim-kilkis.kil.sch.gr</t>
  </si>
  <si>
    <t>ΠΕΡΙΚΛΕΟΥΣ ΤΕΡΜΑ</t>
  </si>
  <si>
    <t>ΔΗΜΟΤΙΚΟ ΣΧΟΛΕΙΟ ΠΑΛΑΙΟΥ ΑΓΙΟΝΕΡΙΟΥ ΚΙΛΚΙΣ</t>
  </si>
  <si>
    <t>mail@dim-p-agion.kil.sch.gr</t>
  </si>
  <si>
    <t>ΠΑΛΑΙΟ ΑΓΙΟΝΕΡΙ ΚΙΛΚΙΣ</t>
  </si>
  <si>
    <t>9ο ΝΗΠΙΑΓΩΓΕΙΟ ΚΙΛΚΙΣ</t>
  </si>
  <si>
    <t>mail@9nip-kilkis.kil.sch.gr</t>
  </si>
  <si>
    <t>Μ. ΑΛΕΞΑΝΔΡΟΥ 26</t>
  </si>
  <si>
    <t>ΔΗΜΟΤΙΚΟ ΣΧΟΛΕΙΟ ΓΑΛΛΙΚΟΥ</t>
  </si>
  <si>
    <t>mail@dim-gallik.kil.sch.gr</t>
  </si>
  <si>
    <t>ΓΑΛΛΙΚΟΣ</t>
  </si>
  <si>
    <t>4ο ΔΗΜΟΤΙΚΟ ΣΧΟΛΕΙΟ ΚΙΛΚΙΣ</t>
  </si>
  <si>
    <t>mail@4dim-kilkis.kil.sch.gr</t>
  </si>
  <si>
    <t>Γ. ΚΑΠΕΤΑ 41</t>
  </si>
  <si>
    <t>7ο ΔΗΜΟΤΙΚΟ ΣΧΟΛΕΙΟ ΚΙΛΚΙΣ</t>
  </si>
  <si>
    <t>mail@7dim-kilkis.kil.sch.gr</t>
  </si>
  <si>
    <t>ΔΕΚΑΠΕΝΤΕ ΜΑΡΤΥΡΩΝ ΤΕΡΜΑ</t>
  </si>
  <si>
    <t>2ο ΔΗΜΟΤΙΚΟ ΣΧΟΛΕΙΟ ΚΙΛΚΙΣ</t>
  </si>
  <si>
    <t>mail@2dim-kilkis.kil.sch.gr</t>
  </si>
  <si>
    <t>ΜΗΤΡΟΠΟΛΕΩΣ 3</t>
  </si>
  <si>
    <t>6ο ΝΗΠΙΑΓΩΓΕΙΟ ΚΙΛΚΙΣ</t>
  </si>
  <si>
    <t>mail@6nip-kilkis.kil.sch.gr</t>
  </si>
  <si>
    <t>ΤΕΡΜΑ ΜΙΛΤΙΑΔΟΥ</t>
  </si>
  <si>
    <t>ΔΗΜΟΤΙΚΟ ΣΧΟΛΕΙΟ ΑΓΙΟΥ ΠΕΤΡΟΥ</t>
  </si>
  <si>
    <t>mail@dim-ag-petrou.kil.sch.gr</t>
  </si>
  <si>
    <t>3ο ΔΗΜΟΤΙΚΟ ΣΧΟΛΕΙΟ ΚΙΛΚΙΣ</t>
  </si>
  <si>
    <t>mail@3dim-kilkis.kil.sch.gr</t>
  </si>
  <si>
    <t>ΕΛ. ΒΕΝΙΖΕΛΟΥ 53</t>
  </si>
  <si>
    <t>4ο ΝΗΠΙΑΓΩΓΕΙΟ ΚΙΛΚΙΣ</t>
  </si>
  <si>
    <t>mail@4nip-kilkis.kil.sch.gr</t>
  </si>
  <si>
    <t>ΑΜΠΕΛΩΝ ΕΡΓΑΤΙΚΕΣ ΚΑΤΟΙΚΙΕΣ 6</t>
  </si>
  <si>
    <t>8ο ΔΗΜΟΤΙΚΟ ΣΧΟΛΕΙΟ ΚΙΛΚΙΣ</t>
  </si>
  <si>
    <t>mail@8dim-kilkis.kil.sch.gr</t>
  </si>
  <si>
    <t>ΚΑΝΑΡΗ 3</t>
  </si>
  <si>
    <t>2ο ΔΗΜΟΤΙΚΟ ΣΧΟΛΕΙΟ ΑΞΙΟΥΠΟΛΗΣ</t>
  </si>
  <si>
    <t>mail@2dim-axioup.kil.sch.gr</t>
  </si>
  <si>
    <t>Αξιούπολη,</t>
  </si>
  <si>
    <t>ΟΛΥΜΠΙΑΔΟΣ</t>
  </si>
  <si>
    <t>5ο ΝΗΠΙΑΓΩΓΕΙΟ ΚΙΛΚΙΣ</t>
  </si>
  <si>
    <t>mail@5nip-kilkis.kil.sch.gr</t>
  </si>
  <si>
    <t>ΠΑΠΑΓΙΑΝΝΑΚΟΥ 1</t>
  </si>
  <si>
    <t>3ο ΝΗΠΙΑΓΩΓΕΙΟ ΚΙΛΚΙΣ</t>
  </si>
  <si>
    <t>mail@3nip-kilkis.kil.sch.gr</t>
  </si>
  <si>
    <t>ΕΛ.ΒΕΝΙΖΕΛΟΥ 53</t>
  </si>
  <si>
    <t>2ο ΝΗΠΙΑΓΩΓΕΙΟ ΚΙΛΚΙΣ</t>
  </si>
  <si>
    <t>mail@2nip-kilkis.kil.sch.gr</t>
  </si>
  <si>
    <t>ΑΓΙΟΥ ΓΕΩΡΓΙΟΥ 3</t>
  </si>
  <si>
    <t>ΔΗΜΟΤΙΚΟ ΣΧΟΛΕΙΟ ΝΕΑΣ ΣΑΝΤΑΣ</t>
  </si>
  <si>
    <t>mail@dim-n-santas.kil.sch.gr</t>
  </si>
  <si>
    <t>1ο ΔΗΜΟΤΙΚΟ ΣΧΟΛΕΙΟ ΑΞΙΟΥΠΟΛΗΣ</t>
  </si>
  <si>
    <t>mail@dim-axioup.kil.sch.gr</t>
  </si>
  <si>
    <t>ΑΞΙΟΥΠΟΛΗ</t>
  </si>
  <si>
    <t>ΟΔΟΣ ΣΧΟΛΕΙΩΝ 23</t>
  </si>
  <si>
    <t>2ο ΔΗΜΟΤΙΚΟ ΣΧΟΛΕΙΟ ΠΟΛΥΚΑΣΤΡΟΥ</t>
  </si>
  <si>
    <t>mail@2dim-polyk.kil.sch.gr</t>
  </si>
  <si>
    <t>ΔΑΒΑΚΗ 9</t>
  </si>
  <si>
    <t>3ο ΔΗΜΟΤΙΚΟ ΣΧΟΛΕΙΟ ΠΟΛΥΚΑΣΤΡΟΥ</t>
  </si>
  <si>
    <t>mail@3dim-polyk.kil.sch.gr</t>
  </si>
  <si>
    <t>ΑΜΠΕΛΟΚΗΠΩΝ-</t>
  </si>
  <si>
    <t>ΔΗΜΟΤΙΚΟ ΣΧΟΛΕΙΟ Σ.Σ. ΜΟΥΡΙΩΝ</t>
  </si>
  <si>
    <t>mail@dim-mourion.kil.sch.gr</t>
  </si>
  <si>
    <t>Σ.Σ. ΜΟΥΡΙΩΝ</t>
  </si>
  <si>
    <t>ΔΗΜΟΤΙΚΟ ΣΧΟΛΕΙΟ ΕΥΚΑΡΠΙΑΣ ΚΙΛΚΙΣ</t>
  </si>
  <si>
    <t>mail@dim-efkarp.kil.sch.gr</t>
  </si>
  <si>
    <t>8ο  ΝΗΠΙΑΓΩΓΕΙΟ ΚΙΛΚΙΣ</t>
  </si>
  <si>
    <t>mail@8nip-kilkis.kil.sch.gr</t>
  </si>
  <si>
    <t>ΠΑΙΟΝΙΑΣ 1</t>
  </si>
  <si>
    <t>ΔΗΜΟΤΙΚΟ ΣΧΟΛΕΙΟ ΧΕΡΣΟΥ</t>
  </si>
  <si>
    <t>mail@dim-chers.kil.sch.gr</t>
  </si>
  <si>
    <t xml:space="preserve">ΧΕΡΣΟ </t>
  </si>
  <si>
    <t>9ο ΔΗΜΟΤΙΚΟ ΣΧΟΛΕΙΟ ΚΙΛΚΙΣ</t>
  </si>
  <si>
    <t>mail@9dim-kilkis.kil.sch.gr</t>
  </si>
  <si>
    <t>ΑΝΤ. ΚΟΥΤΗΦΑΡΗ 6</t>
  </si>
  <si>
    <t>11ο ΝΗΠΙΑΓΩΓΕΙΟ ΚΙΛΚΙΣ</t>
  </si>
  <si>
    <t>mail@11nip-kilkis.kil.sch.gr</t>
  </si>
  <si>
    <t>13ο ΝΗΠΙΑΓΩΓΕΙΟ ΚΙΛΚΙΣ</t>
  </si>
  <si>
    <t>mail@13nip-kilkis.kil.sch.gr</t>
  </si>
  <si>
    <t>ΔΙΑΛΕΤΗ  19</t>
  </si>
  <si>
    <t>Π.Ε. ΠΕΛΛΑΣ</t>
  </si>
  <si>
    <t>ΔΗΜΟΤΙΚΟ ΣΧΟΛΕΙΟ ΠΟΛΥΚΑΡΠΗΣ ΠΕΛΛΑΣ</t>
  </si>
  <si>
    <t>mail@dim-polyk.pel.sch.gr</t>
  </si>
  <si>
    <t>ΑΛΜΩΠΙΑΣ</t>
  </si>
  <si>
    <t>ΠΟΛΥΚΑΡΠΗ</t>
  </si>
  <si>
    <t>ΠΟΛΥΚΑΡΠΗ ΑΡΙΔΑΙΑΣ</t>
  </si>
  <si>
    <t>5ο ΝΗΠΙΑΓΩΓΕΙΟ ΓΙΑΝΝΙΤΣΩΝ</t>
  </si>
  <si>
    <t>mail@5nip-giann.pel.sch.gr</t>
  </si>
  <si>
    <t>ΠΕΛΛΑΣ</t>
  </si>
  <si>
    <t>ΓΙΑΝΝΙΤΣΑ</t>
  </si>
  <si>
    <t>ΝΙΚΗΤΑΡΑ 4</t>
  </si>
  <si>
    <t>ΝΗΠΙΑΓΩΓΕΙΟ ΝΕΟΥ ΜΥΛΟΤΟΠΟΥ</t>
  </si>
  <si>
    <t>mail@1nip-n-mylot.pel.sch.gr</t>
  </si>
  <si>
    <t>Ν.ΜΥΛΟΤΟΠΟΥ</t>
  </si>
  <si>
    <t>Π. ΚΑΤΣΑΡΕΑ  7</t>
  </si>
  <si>
    <t>16ο ΝΗΠΙΑΓΩΓΕΙΟ ΓΙΑΝΝΙΤΣΩΝ</t>
  </si>
  <si>
    <t>mail@16nip-giann.pel.sch.gr</t>
  </si>
  <si>
    <t>ΓΙΑΝΝΙΤΣΩΝ</t>
  </si>
  <si>
    <t>ΣΤΡΑΝΤΖΗΣ 16Α</t>
  </si>
  <si>
    <t>12ο ΝΗΠΙΑΓΩΓΕΙΟ ΓΙΑΝΝΙΤΣΩΝ</t>
  </si>
  <si>
    <t>mail@12nip-giann.pel.sch.gr</t>
  </si>
  <si>
    <t>ΚΑΠΕΤΑΝ ΒΑΡΔΑ 66</t>
  </si>
  <si>
    <t>11ο ΝΗΠΙΑΓΩΓΕΙΟ ΓΙΑΝΝΙΤΣΩΝ</t>
  </si>
  <si>
    <t>mail@11nip-giann.pel.sch.gr</t>
  </si>
  <si>
    <t>ΣΤΡΑΝΤΖΗΣ 4</t>
  </si>
  <si>
    <t>4ο ΝΗΠΙΑΓΩΓΕΙΟ ΓΙΑΝΝΙΤΣΩΝ</t>
  </si>
  <si>
    <t>mail@4nip-giann.pel.sch.gr</t>
  </si>
  <si>
    <t>ΜΗΤΡΟΠΟΛΕΩΣ 40</t>
  </si>
  <si>
    <t>2ο ΝΗΠΙΑΓΩΓΕΙΟ ΓΙΑΝΝΙΤΣΩΝ</t>
  </si>
  <si>
    <t>mail@2nip-giann.pel.sch.gr</t>
  </si>
  <si>
    <t>ΧΑΤΖΗΔΗΜΗΤΡΙΟΥ 118</t>
  </si>
  <si>
    <t>5ο ΔΗΜΟΤΙΚΟ ΣΧΟΛΕΙΟ ΕΔΕΣΣΑΣ</t>
  </si>
  <si>
    <t>mail@5dim-edess.pel.sch.gr</t>
  </si>
  <si>
    <t>ΕΔΕΣΣΑΣ</t>
  </si>
  <si>
    <t>ΕΔΕΣΣΑ</t>
  </si>
  <si>
    <t>ΕΓΝΑΤΙΑΣ 89</t>
  </si>
  <si>
    <t>1ο ΝΗΠΙΑΓΩΓΕΙΟ ΓΙΑΝΝΙΤΣΩΝ "ΔΗΜΗΤΡΑ ΜΙΓΓΑ-ΚΑΣΑΠΗ"</t>
  </si>
  <si>
    <t>mail@1nip-giann.pel.sch.gr</t>
  </si>
  <si>
    <t>ΦΙΛΙΠΠΟΥΠΟΛΕΩΣ 3</t>
  </si>
  <si>
    <t>12ο ΝΗΠΙΑΓΩΓΕΙΟ ΕΔΕΣΣΑΣ</t>
  </si>
  <si>
    <t>mail@12nip-edess.pel.sch.gr</t>
  </si>
  <si>
    <t>ΒΟΡ. ΗΠΕΙΡΟΥ  25</t>
  </si>
  <si>
    <t>3ο ΝΗΠΙΑΓΩΓΕΙΟ ΕΔΕΣΣΑΣ</t>
  </si>
  <si>
    <t>mail@3nip-edess.pel.sch.gr</t>
  </si>
  <si>
    <t>ΠΑΤΡΙΑΡΧΟΥ ΓΡΗΓΟΡΙΟΥ Ε΄ 24</t>
  </si>
  <si>
    <t>ΔΗΜΟΤΙΚΟ ΣΧΟΛΕΙΟ ΑΘΥΡΩΝ</t>
  </si>
  <si>
    <t>mail@dim-athyr.pel.sch.gr</t>
  </si>
  <si>
    <t>Άθυρα</t>
  </si>
  <si>
    <t>ΣΚΡΑ 2</t>
  </si>
  <si>
    <t>3ο ΔΗΜΟΤΙΚΟ ΣΧΟΛΕΙΟ ΑΡΙΔΑΙΑΣ "ΣΥΜΕΩΝ ΣΩΤΗΡΙΑΔΗΣ"</t>
  </si>
  <si>
    <t>mail@3dim-aridaias.pel.sch.gr</t>
  </si>
  <si>
    <t>Αριδαία</t>
  </si>
  <si>
    <t>Π. Μελά 24</t>
  </si>
  <si>
    <t>ΔΗΜΟΤΙΚΟ ΣΧΟΛΕΙΟ ΓΑΡΕΦΕΙΟΥ</t>
  </si>
  <si>
    <t>mail@dim-garef.pel.sch.gr</t>
  </si>
  <si>
    <t>ΓΑΡΕΦΙ</t>
  </si>
  <si>
    <t>4/Θ ΔΗΜΟΤΙΚΟ ΣΧΟΛΕΙΟ ΓΑΡΕΦΕΙΟΥ</t>
  </si>
  <si>
    <t>ΔΗΜΟΤΙΚΟ ΣΧΟΛΕΙΟ ΑΡΑΒΗΣΣΟΥ</t>
  </si>
  <si>
    <t>mail@dim-arabiss.pel.sch.gr</t>
  </si>
  <si>
    <t>ΑΡΑΒΗΣΣΟΣ</t>
  </si>
  <si>
    <t>8ο ΔΗΜΟΤΙΚΟ ΣΧΟΛΕΙΟ ΓΙΑΝΝΙΤΣΩΝ-ΑΡΧΙΜΑΝΔΡΙΤΗΣ ΙΓΝΑΤΙΟΣ ΗΛΙΟΠΟΥΛΟΣ</t>
  </si>
  <si>
    <t>mail@8dim-giann.pel.sch.gr</t>
  </si>
  <si>
    <t>Ι.ΒΑΣΙΛΕΙΑΔΗ 35</t>
  </si>
  <si>
    <t>6ο ΔΗΜΟΤΙΚΟ ΣΧΟΛΕΙΟ ΓΙΑΝΝΙΤΣΩΝ</t>
  </si>
  <si>
    <t>mail@6dim-giann.pel.sch.gr</t>
  </si>
  <si>
    <t>ΣΠΑΡΤΙΑΤΟΥ 20</t>
  </si>
  <si>
    <t>4ο ΔΗΜΟΤΙΚΟ ΣΧΟΛΕΙΟ ΓΙΑΝΝΙΤΣΩΝ</t>
  </si>
  <si>
    <t>mail@4dim-giann.pel.sch.gr</t>
  </si>
  <si>
    <t>ΙΑΤΡΟΥ ΜΠΟΣΚΟΥ 21</t>
  </si>
  <si>
    <t>1ο ΔΗΜΟΤΙΚΟ ΣΧΟΛΕΙΟ ΚΡΥΑΣ ΒΡΥΣΗΣ</t>
  </si>
  <si>
    <t>mail@1dim-k-vrysis.pel.sch.gr</t>
  </si>
  <si>
    <t>ΚΡΥΑ ΒΡΥΣΗ</t>
  </si>
  <si>
    <t>ΕΛ. ΒΕΝΙΖΕΛΟΥ 20</t>
  </si>
  <si>
    <t>6ο ΔΗΜΟΤΙΚΟ ΣΧΟΛΕΙΟ ΕΔΕΣΣΑΣ</t>
  </si>
  <si>
    <t>mail@6dim-edess.pel.sch.gr</t>
  </si>
  <si>
    <t>ΚΑΡΑΝΟΥ 30</t>
  </si>
  <si>
    <t>ΔΗΜΟΤΙΚΟ ΣΧΟΛΕΙΟ ΠΡΟΜΑΧΩΝ</t>
  </si>
  <si>
    <t>mail@dim-promach.pel.sch.gr</t>
  </si>
  <si>
    <t>Πρόμαχοι</t>
  </si>
  <si>
    <t>ΠΡΟΜΑΧΟΙ ΑΛΜΩΠΙΑΣ</t>
  </si>
  <si>
    <t>1ο ΔΗΜΟΤΙΚΟ ΣΧΟΛΕΙΟ ΣΚΥΔΡΑΣ</t>
  </si>
  <si>
    <t>mail@1dim-skydr.pel.sch.gr</t>
  </si>
  <si>
    <t>ΣΚΥΔΡΑΣ</t>
  </si>
  <si>
    <t>ΣΚΥΔΡΑ</t>
  </si>
  <si>
    <t>ΕΛ. ΒΕΝΙΖΕΛΟΥ 1</t>
  </si>
  <si>
    <t>1ο ΝΗΠΙΑΓΩΓΕΙΟ ΕΔΕΣΣΑΣ</t>
  </si>
  <si>
    <t>mail@1nip-edess.pel.sch.gr</t>
  </si>
  <si>
    <t>Λεωφ. Φιλίππου 30</t>
  </si>
  <si>
    <t>2ο ΝΗΠΙΑΓΩΓΕΙΟ ΕΔΕΣΣΑΣ</t>
  </si>
  <si>
    <t>mail@2nip-edess.pel.sch.gr</t>
  </si>
  <si>
    <t>ΠΛΑΤΕΙΑ ΜΟΥΣΕΙΟΥ 2</t>
  </si>
  <si>
    <t>9ο ΝΗΠΙΑΓΩΓΕΙΟ ΕΔΕΣΣΑΣ</t>
  </si>
  <si>
    <t>mail@9nip-edess.pel.sch.gr</t>
  </si>
  <si>
    <t>ΔΗΜΗΤΡΙΟΥ ΠΕΤΡΙΤΣΗ 30</t>
  </si>
  <si>
    <t>3ο ΔΗΜΟΤΙΚΟ ΣΧΟΛΕΙΟ ΓΙΑΝΝΙΤΣΩΝ "ΑΓΑΘΟΒΟΥΛΕΙΟ"</t>
  </si>
  <si>
    <t>mail@3dim-giann.pel.sch.gr</t>
  </si>
  <si>
    <t>1ο ΔΗΜΟΤΙΚΟ ΣΧΟΛΕΙΟ ΓΙΑΝΝΙΤΣΩΝ</t>
  </si>
  <si>
    <t>mail@1dim-giann.pel.sch.gr</t>
  </si>
  <si>
    <t>ΓΚΟΝΟΥ ΓΙΩΤΑ 40</t>
  </si>
  <si>
    <t>ΔΗΜΟΤΙΚΟ ΣΧΟΛΕΙΟ ΠΕΝΤΑΠΛΑΤΑΝΟΥ</t>
  </si>
  <si>
    <t>mail@dim-pentap.pel.sch.gr</t>
  </si>
  <si>
    <t>ΠΕΝΤΑΠΛΑΤΑΝΟΣ</t>
  </si>
  <si>
    <t>ΠΕΝΤΑΠΛΑΤΑΝΟΣ ΓΙΑΝΝΙΤΣΩΝ</t>
  </si>
  <si>
    <t>ΔΗΜΟΤΙΚΟ ΣΧΟΛΕΙΟ ΓΑΛΑΤΑΔΩΝ</t>
  </si>
  <si>
    <t>mail@dim-galat.pel.sch.gr</t>
  </si>
  <si>
    <t>ΓΑΛΑΤΑΔΕΣ</t>
  </si>
  <si>
    <t>9ο ΔΗΜΟΤΙΚΟ ΣΧΟΛΕΙΟ ΓΙΑΝΝΙΤΣΩΝ</t>
  </si>
  <si>
    <t>mail@9dim-giann.pel.sch.gr</t>
  </si>
  <si>
    <t>Γιαννιτσά</t>
  </si>
  <si>
    <t>ΑΡΙΣΤΟΦΑΝΟΥΣ &amp; ΙΩΝΟΣ ΔΡΑΓΟΥΜΗ ΓΩΝΙΑ</t>
  </si>
  <si>
    <t>4ο ΝΗΠΙΑΓΩΓΕΙΟ ΣΚΥΔΡΑΣ</t>
  </si>
  <si>
    <t>mail@4nip-skydr.pel.sch.gr</t>
  </si>
  <si>
    <t>ΠΕΤΡΟΥ ΣΑΧΙΝΗ 25</t>
  </si>
  <si>
    <t>4ο ΔΗΜΟΤΙΚΟ ΣΧΟΛΕΙΟ ΑΡΙΔΑΙΑΣ "ΞΕΝΙΤΙΔΕΙΟ"</t>
  </si>
  <si>
    <t>mail@4dim-aridaias.pel.sch.gr</t>
  </si>
  <si>
    <t>ΑΡΙΔΑΙΑ</t>
  </si>
  <si>
    <t>ΔΥΤΙΚΟΣ ΠΕΡΙΦΕΡΕΙΑΚΟΣ</t>
  </si>
  <si>
    <t>5ο ΝΗΠΙΑΓΩΓΕΙΟ ΕΔΕΣΣΑΣ</t>
  </si>
  <si>
    <t>mail@5nip-edess.pel.sch.gr</t>
  </si>
  <si>
    <t>ΑΓ. ΔΗΜΗΤΡΙΟΥ 49</t>
  </si>
  <si>
    <t>ΔΗΜΟΤΙΚΟ ΣΧΟΛΕΙΟ ΚΑΡΥΩΤΙΣΣΑΣ</t>
  </si>
  <si>
    <t>mail@dim-karyot.pel.sch.gr</t>
  </si>
  <si>
    <t>ΚΑΡΥΩΤΙΣΣΑ</t>
  </si>
  <si>
    <t>Μ.ΑΛΕΞΑΝΔΡΟΥ 21</t>
  </si>
  <si>
    <t>ΔΗΜΟΤΙΚΟ ΣΧΟΛΕΙΟ ΑΜΠΕΛΕΙΩΝ</t>
  </si>
  <si>
    <t>mail@dim-ampelm.pel.sch.gr</t>
  </si>
  <si>
    <t>Αμπελειές</t>
  </si>
  <si>
    <t>ΑΜΠΕΛΕΙΕΣ</t>
  </si>
  <si>
    <t>ΔΗΜΟΤΙΚΟ ΣΧΟΛΕΙΟ ΣΩΣΑΝΔΡΑΣ</t>
  </si>
  <si>
    <t>mail@dim-sosandr.pel.sch.gr</t>
  </si>
  <si>
    <t>ΣΩΣΑΝΔΡΑ</t>
  </si>
  <si>
    <t>ΣΩΣΑΝΔΡΑ ΑΡΙΔΑΙΑΣ</t>
  </si>
  <si>
    <t>ΔΗΜΟΤΙΚΟ ΣΧΟΛΕΙΟ ΕΞΑΠΛΑΤΑΝΟΥ</t>
  </si>
  <si>
    <t>mail@dim-exapl.pel.sch.gr</t>
  </si>
  <si>
    <t>ΕΞΑΠΛΑΤΑΝΟΣ</t>
  </si>
  <si>
    <t>Μ. ΑΛΕΞΑΝΔΡΟΥ 35</t>
  </si>
  <si>
    <t>2ο ΔΗΜΟΤΙΚΟ ΣΧΟΛΕΙΟ ΣΚΥΔΡΑΣ</t>
  </si>
  <si>
    <t>2dimskydras@sch.gr</t>
  </si>
  <si>
    <t>ΦΙΝΤΙΟΥ 1</t>
  </si>
  <si>
    <t>9ο ΔΗΜΟΤΙΚΟ ΣΧΟΛΕΙΟ ΕΔΕΣΣΑΣ</t>
  </si>
  <si>
    <t>mail@9dim-edess.pel.sch.gr</t>
  </si>
  <si>
    <t>ΑΓΙΟΥ ΔΗΜΗΤΡΙΟΥ 49</t>
  </si>
  <si>
    <t>ΔΗΜΟΤΙΚΟ ΣΧΟΛΕΙΟ ΑΓΙΟΥ ΛΟΥΚΑ ΠΕΛΛΑΣ</t>
  </si>
  <si>
    <t>mail@dim-ag-louka.pel.sch.gr</t>
  </si>
  <si>
    <t>ΑΓΙΟΣ  ΛΟΥΚΑΣ</t>
  </si>
  <si>
    <t>ΑΓΙΟΣ ΛΟΥΚΑΣ ΚΡΥΑΣ ΒΡΥΣΗΣ</t>
  </si>
  <si>
    <t>1ο ΝΗΠΙΑΓΩΓΕΙΟ ΑΡΙΔΑΙΑΣ</t>
  </si>
  <si>
    <t>mail@1nip-aridaias.pel.sch.gr</t>
  </si>
  <si>
    <t>ΠΕΡΙΦΕΡΕΙΑΚΗ ΟΔΟΣ-ΑΝΑΤΟΛΙΚΗ</t>
  </si>
  <si>
    <t>ΔΗΜΟΤΙΚΟ ΣΧΟΛΕΙΟ ΑΡΣΕΝΙΟΥ</t>
  </si>
  <si>
    <t>mail@dim-arsen.pel.sch.gr</t>
  </si>
  <si>
    <t>Αρσένι Σκύδρας</t>
  </si>
  <si>
    <t>ΑΡΣΕΝΙ</t>
  </si>
  <si>
    <t>3ο ΔΗΜΟΤΙΚΟ ΣΧΟΛΕΙΟ ΕΔΕΣΣΑΣ</t>
  </si>
  <si>
    <t>mail@3dim-edess.pel.sch.gr</t>
  </si>
  <si>
    <t>ΚΩΝΣΤΑΝΤΙΝΟΥΠΟΛΕΩΣ 72</t>
  </si>
  <si>
    <t>ΔΗΜΟΤΙΚΟ ΣΧΟΛΕΙΟ ΝΕΟΥ ΜΥΛΟΤΟΠΟΥ</t>
  </si>
  <si>
    <t>mail@dim-mylot.pel.sch.gr</t>
  </si>
  <si>
    <t>ΝΕΟΣ  ΜΥΛΟΤΟΠΟΣ</t>
  </si>
  <si>
    <t>Π. ΚΑΤΣΑΡΕΑ 7</t>
  </si>
  <si>
    <t>2ο  ΔΗΜΟΤΙΚΟ ΣΧΟΛΕΙΟ ΓΙΑΝΝΙΤΣΩΝ "ΑΛΕΞΑΝΔΡΕΙΟ"</t>
  </si>
  <si>
    <t>mail@2dim-giann.pel.sch.gr</t>
  </si>
  <si>
    <t>ΑΘ.ΟΙΚΟΝΟΜΟΥ 1</t>
  </si>
  <si>
    <t>ΔΗΜΟΤΙΚΟ ΣΧΟΛΕΙΟ ΑΚΡΟΛΙΜΝΗΣ</t>
  </si>
  <si>
    <t>mail@dim-akrol.pel.sch.gr</t>
  </si>
  <si>
    <t>ΑΚΡΟΛΙΜΝΗ</t>
  </si>
  <si>
    <t>2ο  ΝΗΠΙΑΓΩΓΕΙΟ ΣΚΥΔΡΑΣ</t>
  </si>
  <si>
    <t>mail@2nip-skydr.pel.sch.gr</t>
  </si>
  <si>
    <t>ΗΡΩΩΝ ΠΟΛΥΤΕΧΝΕΙΟΥ 4</t>
  </si>
  <si>
    <t>1ο ΝΗΠΙΑΓΩΓΕΙΟ ΣΚΥΔΡΑΣ</t>
  </si>
  <si>
    <t>mail@1nip-skydr.pel.sch.gr</t>
  </si>
  <si>
    <t>ΘΕΜ. ΣΗΜΑΙΟΦΟΡΙΔΗ 1</t>
  </si>
  <si>
    <t>5ο ΔΗΜΟΤΙΚΟ ΣΧΟΛΕΙΟ ΓΙΑΝΝΙΤΣΩΝ "ΠΗΝΕΛΟΠΗ ΔΕΛΤΑ"</t>
  </si>
  <si>
    <t>mail@5dim-giann.pel.sch.gr</t>
  </si>
  <si>
    <t>Μ.ΑΛΕΞΑΝΔΡΟΥ 112</t>
  </si>
  <si>
    <t>7ο ΔΗΜΟΤΙΚΟ ΣΧΟΛΕΙΟ ΓΙΑΝΝΙΤΣΩΝ</t>
  </si>
  <si>
    <t>mail@7dim-giann.pel.sch.gr</t>
  </si>
  <si>
    <t>ΚΛΕΦΤΩΝ ΚΑΙ ΑΡΜΑΤΩΛΩΝ</t>
  </si>
  <si>
    <t>ΔΗΜΟΤΙΚΟ ΣΧΟΛΕΙΟ ΝΕΑΣ ΠΕΛΛΑΣ</t>
  </si>
  <si>
    <t>mail@dim-n-pellas.pel.sch.gr</t>
  </si>
  <si>
    <t>ΝΕΑ ΠΕΛΛΑ</t>
  </si>
  <si>
    <t>2ο  ΔΗΜΟΤΙΚΟ ΣΧΟΛΕΙΟ ΚΡΥΑΣ ΒΡΥΣΗΣ</t>
  </si>
  <si>
    <t>mail@2dim-k-vrysis.pel.sch.gr</t>
  </si>
  <si>
    <t>ΒΕΝΙΖΕΛΟΥ 107</t>
  </si>
  <si>
    <t>ΔΗΜΟΤΙΚΟ ΣΧΟΛΕΙΟ ΠΑΛΑΙΦΥΤΟΥ</t>
  </si>
  <si>
    <t>mail@dim-palaif.pel.sch.gr</t>
  </si>
  <si>
    <t>ΠΑΛΑΙΦΥΤΟ</t>
  </si>
  <si>
    <t>ΔΗΜΟΤΙΚΟ ΣΧΟΛΕΙΟ ΠΕΛΛΑΣ</t>
  </si>
  <si>
    <t>mail@dim-pellas.pel.sch.gr</t>
  </si>
  <si>
    <t>ΠΕΛΛΑ</t>
  </si>
  <si>
    <t>ΜΕΓΑΛΟΥ ΑΛΕΞΑΝΔΡΟΥ 8</t>
  </si>
  <si>
    <t>ΔΗΜΟΤΙΚΟ ΣΧΟΛΕΙΟ ΞΙΦΙΑΝΗΣ - ΑΛΩΡΟΥ</t>
  </si>
  <si>
    <t>mail@dim-xifian.pel.sch.gr</t>
  </si>
  <si>
    <t>Ξιφιανή</t>
  </si>
  <si>
    <t>ΞΙΦΙΑΝΗ</t>
  </si>
  <si>
    <t>ΔΗΜΟΤΙΚΟ ΣΧΟΛΕΙΟ ΛΟΥΤΡΑΚΙΟΥ</t>
  </si>
  <si>
    <t>mail@dim-loutr.pel.sch.gr</t>
  </si>
  <si>
    <t>ΛΟΥΤΡΑΚΙ</t>
  </si>
  <si>
    <t>ΛΟΥΤΡΑΚΙ ΑΡΙΔΑΙΑΣ</t>
  </si>
  <si>
    <t>10ο ΔΗΜΟΤΙΚΟ ΣΧΟΛΕΙΟ ΓΙΑΝΝΙΤΣΩΝ</t>
  </si>
  <si>
    <t>mail@10dim-giann.pel.sch.gr</t>
  </si>
  <si>
    <t>ΜΕΓΑΛΟΥ ΑΛΕΞΑΝΔΡΟΥ 112</t>
  </si>
  <si>
    <t>ΔΗΜΟΤΙΚΟ ΣΧΟΛΕΙΟ ΑΞΟΥ</t>
  </si>
  <si>
    <t>mail@dim-axou.pel.sch.gr</t>
  </si>
  <si>
    <t>ΑΞΟΣ</t>
  </si>
  <si>
    <t>Μ. ΑΛΕΞΑΝΔΡΟΥ 132</t>
  </si>
  <si>
    <t>2ο  ΝΗΠΙΑΓΩΓΕΙΟ ΑΡΙΔΑΙΑΣ</t>
  </si>
  <si>
    <t>mail@2nip-aridaias.pel.sch.gr</t>
  </si>
  <si>
    <t>ΜΕΓΑΛΟΥ ΑΛΕΞΑΝΔΡΟΥ 20</t>
  </si>
  <si>
    <t>ΝΗΠΙΑΓΩΓΕΙΟ ΕΞΑΠΛΑΤΑΝΟΥ</t>
  </si>
  <si>
    <t>mail@2nip-exapl.pel.sch.gr</t>
  </si>
  <si>
    <t>ΕΞΑΠΛΑΤΑΝΟΥ</t>
  </si>
  <si>
    <t>1ο ΔΗΜΟΤΙΚΟ ΣΧΟΛΕΙΟ ΑΡΙΔΑΙΑΣ</t>
  </si>
  <si>
    <t>mail@1dim-aridaias.pel.sch.gr</t>
  </si>
  <si>
    <t>Μαυρομιχάλη 6</t>
  </si>
  <si>
    <t>ΔΗΜΟΤΙΚΟ ΣΧΟΛΕΙΟ ΚΑΛΗΣ</t>
  </si>
  <si>
    <t>mail@dim-kalis.pel.sch.gr</t>
  </si>
  <si>
    <t>ΚΑΛΗ</t>
  </si>
  <si>
    <t>ΔΗΜΟΤΙΚΟ ΣΧΟΛΕΙΟ ΛΙΠΟΧΩΡΙΟΥ</t>
  </si>
  <si>
    <t>mail@dim-lipoch.pel.sch.gr</t>
  </si>
  <si>
    <t>ΛΙΠΟΧΩΡΙ</t>
  </si>
  <si>
    <t>ΔΗΜΟΤΙΚΟ ΣΧΟΛΕΙΟ ΚΑΛΥΒΙΩΝ ΠΕΛΛΑΣ</t>
  </si>
  <si>
    <t>mail@dim-kalyv.pel.sch.gr</t>
  </si>
  <si>
    <t>ΔΗΜΟΤΙΚΟ ΣΧΟΛΕΙΟ ΑΡΝΙΣΣΑΣ</t>
  </si>
  <si>
    <t>mail@dim-arniss.pel.sch.gr</t>
  </si>
  <si>
    <t>ΑΡΝΙΣΣΑ</t>
  </si>
  <si>
    <t>ΔΗΜΟΤΙΚΟ ΣΧΟΛΕΙΟ ΜΑΥΡΟΒΟΥΝΙΟΥ</t>
  </si>
  <si>
    <t>mail@dim-mavrov.pel.sch.gr</t>
  </si>
  <si>
    <t>MAΥΡΟΒΟΥΝΙ</t>
  </si>
  <si>
    <t>ΜΑΥΡΟΒΟΥΝΙ-ΣΚΥΔΡΑΣ</t>
  </si>
  <si>
    <t>4ο ΔΗΜΟΤΙΚΟ ΣΧΟΛΕΙΟ ΕΔΕΣΣΑΣ</t>
  </si>
  <si>
    <t>mail@4dim-edess.pel.sch.gr</t>
  </si>
  <si>
    <t>ΠΛ. ΜΙΚ.ΑΣΙΑΣ 7</t>
  </si>
  <si>
    <t>8ο ΔΗΜΟΤΙΚΟ ΣΧΟΛΕΙΟ ΕΔΕΣΣΑΣ</t>
  </si>
  <si>
    <t>mail@8dim-edess.pel.sch.gr</t>
  </si>
  <si>
    <t>ΔΗΜ. ΠΕΤΡΙΤΣΗ 30</t>
  </si>
  <si>
    <t>2ο ΔΗΜΟΤΙΚΟ ΣΧΟΛΕΙΟ ΕΔΕΣΣΑΣ</t>
  </si>
  <si>
    <t>mail@2dim-edess.pel.sch.gr</t>
  </si>
  <si>
    <t>ΚΑΠ. ΑΚΡΙΤΑ 30</t>
  </si>
  <si>
    <t>4ο  ΝΗΠΙΑΓΩΓΕΙΟ ΕΔΕΣΣΑΣ</t>
  </si>
  <si>
    <t>mail@4nip-edess.pel.sch.gr</t>
  </si>
  <si>
    <t>ΚΕΡΑΣΟΥΝΤΟΣ  1, ΕΔΕΣΣΑ</t>
  </si>
  <si>
    <t>8ο ΝΗΠΙΑΓΩΓΕΙΟ ΕΔΕΣΣΑΣ</t>
  </si>
  <si>
    <t>mail@8nip-edess.pel.sch.gr</t>
  </si>
  <si>
    <t>ΑΡΙΔΑΙΑΣ 8</t>
  </si>
  <si>
    <t>2ο ΔΗΜΟΤΙΚΟ ΣΧΟΛΕΙΟ ΑΡΙΔΑΙΑΣ</t>
  </si>
  <si>
    <t>mail@2dim-aridaias.pel.sch.gr</t>
  </si>
  <si>
    <t>ΕΜΜΑΝΟΥΉΛ ΠΑΠΠΑ 6</t>
  </si>
  <si>
    <t>21ο ΝΗΠΙΑΓΩΓΕΙΟ ΓΙΑΝΝΙΤΣΩΝ</t>
  </si>
  <si>
    <t>mail@21nip-giann.pel.sch.gr</t>
  </si>
  <si>
    <t>ΕΛΛΗΣΠΟΝΤΟΥ 1</t>
  </si>
  <si>
    <t>11ο ΔΗΜΟΤΙΚΟ ΣΧΟΛΕΙΟ ΓΙΑΝΝΙΤΣΩΝ "ΝΙΚΑΝΔΡΟΣ ΠΑΠΑΪΩΑΝΝΟΥ"</t>
  </si>
  <si>
    <t>mail@11dim-giann.pel.sch.gr</t>
  </si>
  <si>
    <t>Μ. ΑΛΕΞΑΝΔΡΟΥ 3</t>
  </si>
  <si>
    <t>2ο  ΝΗΠΙΑΓΩΓΕΙΟ ΚΡΥΑΣ  ΒΡΥΣΗΣ "ΠΑΠΑΤΖΑΝΕΤΑ"</t>
  </si>
  <si>
    <t>mail@2nip-k-vrysis.pel.sch.gr</t>
  </si>
  <si>
    <t>ΕΛΕΥΘΕΡΙΟΥ ΒΕΝΙΖΕΛΟΥ 107</t>
  </si>
  <si>
    <t>Π.Ε. ΠΙΕΡΙΑΣ</t>
  </si>
  <si>
    <t>10ο ΔΗΜΟΤΙΚΟ ΣΧΟΛΕΙΟ ΚΑΤΕΡΙΝΗΣ</t>
  </si>
  <si>
    <t>mail@10dim-kater.pie.sch.gr</t>
  </si>
  <si>
    <t>ΚΑΤΕΡΙΝΗΣ</t>
  </si>
  <si>
    <t>ΚΑΤΕΡΙΝΗ</t>
  </si>
  <si>
    <t>ΤΕΝΕΔΟΥ 16</t>
  </si>
  <si>
    <t>3ο ΟΛΟΗΜΕΡΟ ΔΗΜΟΤΙΚΟ ΣΧΟΛΕΙΟ ΚΑΤΕΡΙΝΗΣ</t>
  </si>
  <si>
    <t>mail@3dim-kater.pie.sch.gr</t>
  </si>
  <si>
    <t>2ο ΔΗΜΟΤΙΚΟ ΣΧΟΛΕΙΟ ΚΑΤΕΡΙΝΗΣ «Χρίστος Τσολάκης»</t>
  </si>
  <si>
    <t>mail@2dim-kater.pie.sch.gr</t>
  </si>
  <si>
    <t>ΚΙΟΥΤΑΧΕΙΑΣ 10 (ΜΗΤΡΟΠΟΛΕΩΣ 13)</t>
  </si>
  <si>
    <t>2ο  ΔΗΜΟΤΙΚΟ ΣΧΟΛΕΙΟ ΛΕΠΤΟΚΑΡΥΑΣ</t>
  </si>
  <si>
    <t>mail@2dim-leptok.pie.sch.gr</t>
  </si>
  <si>
    <t>ΔΙΟΥ-ΟΛΥΜΠΟΥ</t>
  </si>
  <si>
    <t>ΛΕΠΤΟΚΑΡΥΑ</t>
  </si>
  <si>
    <t>ΜΕΓ.  ΑΛΕΞΑΝΔΡΟΥ 1</t>
  </si>
  <si>
    <t>7ο ΔΗΜΟΤΙΚΟ ΣΧΟΛΕΙΟ ΚΑΤΕΡΙΝΗΣ</t>
  </si>
  <si>
    <t>mail@7dim-kater.pie.sch.gr</t>
  </si>
  <si>
    <t>ΜΗΤΡΟΠΟΛΙΤΟΥ ΚΥΡΙΛΛΟΥ 8</t>
  </si>
  <si>
    <t>4ο ΝΗΠΙΑΓΩΓΕΙΟ ΚΑΤΕΡΙΝΗΣ</t>
  </si>
  <si>
    <t>mail@4nip-kater.pie.sch.gr</t>
  </si>
  <si>
    <t>19ο ΝΗΠΙΑΓΩΓΕΙΟ ΚΑΤΕΡΙΝΗΣ</t>
  </si>
  <si>
    <t>mail@19nip-kater.pie.sch.gr</t>
  </si>
  <si>
    <t>ΤΥΡΤΑΙΟΥ  2</t>
  </si>
  <si>
    <t>ΝΗΠΙΑΓΩΓΕΙΟ ΠΛΑΤΑΜΩΝΑ</t>
  </si>
  <si>
    <t>mail@nip-platam.pie.sch.gr</t>
  </si>
  <si>
    <t>ΠΛΑΤΑΜΩΝΑ</t>
  </si>
  <si>
    <t>ΕΓΝΑΤΙΑΣ 76</t>
  </si>
  <si>
    <t>8ο ΔΗΜΟΤΙΚΟ ΣΧΟΛΕΙΟ ΚΑΤΕΡΙΝΗΣ</t>
  </si>
  <si>
    <t>mail@8dim-kater.pie.sch.gr</t>
  </si>
  <si>
    <t>ΣΤΡΑΤΗΓΟΥ ΡΟΚΑ 13</t>
  </si>
  <si>
    <t>ΝΗΠΙΑΓΩΓΕΙΟ ΚΑΛΛΙΘΕΑΣ Ν.ΠΙΕΡΙΑΣ</t>
  </si>
  <si>
    <t>mail@nip-kallith.pie.sch.gr</t>
  </si>
  <si>
    <t>ΝΙΚ. ΒΟΤΣΗ ΚΑΙ ΟΛ. ΚΑΡΑΚΩΣΤΑ</t>
  </si>
  <si>
    <t>5ο  ΝΗΠΙΑΓΩΓΕΙΟ ΚΑΤΕΡΙΝΗΣ</t>
  </si>
  <si>
    <t>mail@5nip-kater.pie.sch.gr</t>
  </si>
  <si>
    <t>ΦΙΛΙΠΠΟΥ 30</t>
  </si>
  <si>
    <t>1ο  ΝΗΠΙΑΓΩΓΕΙΟ ΚΑΤΕΡΙΝΗΣ</t>
  </si>
  <si>
    <t>mail@1nip-kater.pie.sch.gr</t>
  </si>
  <si>
    <t>ΙΠΠΟΚΡΑΤΟΥΣ  3</t>
  </si>
  <si>
    <t>6ο ΝΗΠΙΑΓΩΓΕΙΟ ΚΑΤΕΡΙΝΗΣ</t>
  </si>
  <si>
    <t>mail@6nip-kater.pie.sch.gr</t>
  </si>
  <si>
    <t>28ης Οκτωβρίου 15</t>
  </si>
  <si>
    <t>9ο ΝΗΠΙΑΓΩΓΕΙΟ ΚΑΤΕΡΙΝΗΣ</t>
  </si>
  <si>
    <t>mail@9nip-kater.pie.sch.gr</t>
  </si>
  <si>
    <t>ΛΟΥΚΙΑΝΟΥ 2</t>
  </si>
  <si>
    <t>2ο ΝΗΠΙΑΓΩΓΕΙΟ ΚΑΤΕΡΙΝΗΣ</t>
  </si>
  <si>
    <t>mail@2nip-kater.pie.sch.gr</t>
  </si>
  <si>
    <t>ΚΙΟΥΤΑΧΕΙΑΣ 10</t>
  </si>
  <si>
    <t>1ο  ΝΗΠΙΑΓΩΓΕΙΟ ΚΟΡΙΝΟΥ</t>
  </si>
  <si>
    <t>mail@nip-korin.pie.sch.gr</t>
  </si>
  <si>
    <t>ΚΟΡΙΝΟΥ</t>
  </si>
  <si>
    <t>Ν.ΘΩΜΑΪΔΗ 9</t>
  </si>
  <si>
    <t>17ο ΝΗΠΙΑΓΩΓΕΙΟ ΚΑΤΕΡΙΝΗΣ</t>
  </si>
  <si>
    <t>mail@17nip-kater.pie.sch.gr</t>
  </si>
  <si>
    <t>ΟΔΥΣΣΕΑ ΕΛΥΤΗ 17</t>
  </si>
  <si>
    <t>10ο ΝΗΠΙΑΓΩΓΕΙΟ ΚΑΤΕΡΙΝΗΣ</t>
  </si>
  <si>
    <t>mail@10nip-kater.pie.sch.gr</t>
  </si>
  <si>
    <t>9ο ΟΛΟΗΜΕΡΟ ΔΗΜΟΤΙΚΟ ΣΧΟΛΕΙΟ ΚΑΤΕΡΙΝΗΣ</t>
  </si>
  <si>
    <t>mail@9dim-kater.pie.sch.gr</t>
  </si>
  <si>
    <t>Κατερίνη</t>
  </si>
  <si>
    <t>Λουκιανού 2</t>
  </si>
  <si>
    <t>ΝΗΠΙΑΓΩΓΕΙΟ ΠΕΡΙΣΤΑΣΗΣ</t>
  </si>
  <si>
    <t>mail@nip-perist.pie.sch.gr</t>
  </si>
  <si>
    <t>ΠΕΡΙΣΤΑΣΗΣ</t>
  </si>
  <si>
    <t>ΑΓ.ΓΕΩΡΓΙΟΥ 2</t>
  </si>
  <si>
    <t>2ο  ΔΗΜΟΤΙΚΟ ΣΧΟΛΕΙΟ ΚΟΛΙΝΔΡΟΥ</t>
  </si>
  <si>
    <t>mail@dim-kolindr.pie.sch.gr</t>
  </si>
  <si>
    <t>ΠΥΔΝΑΣ-ΚΟΛΙΝΔΡΟΥ</t>
  </si>
  <si>
    <t>ΚΟΛΙΝΔΡΟΣ</t>
  </si>
  <si>
    <t>ΜΕΓΑΛΟΥ ΑΛΕΞΑΝΔΡΟΥ 118</t>
  </si>
  <si>
    <t>7ο  ΝΗΠΙΑΓΩΓΕΙΟ ΚΑΤΕΡΙΝΗΣ</t>
  </si>
  <si>
    <t>mail@7nip-kater.pie.sch.gr</t>
  </si>
  <si>
    <t>4ο ΔΗΜΟΤΙΚΟ ΣΧΟΛΕΙΟ ΚΑΤΕΡΙΝΗΣ</t>
  </si>
  <si>
    <t>mail@4dim-kater.pie.sch.gr</t>
  </si>
  <si>
    <t>3ο  ΝΗΠΙΑΓΩΓΕΙΟ ΚΑΤΕΡΙΝΗΣ</t>
  </si>
  <si>
    <t>mail@3nip-kater.pie.sch.gr</t>
  </si>
  <si>
    <t>14ο ΔΗΜΟΤΙΚΟ ΣΧΟΛΕΙΟ ΚΑΤΕΡΙΝΗΣ</t>
  </si>
  <si>
    <t>mail@14dim-kater.pie.sch.gr</t>
  </si>
  <si>
    <t>ΚΙΛΚΙΣ 6</t>
  </si>
  <si>
    <t>11ο ΔΗΜΟΤΙΚΟ ΣΧΟΛΕΙΟ ΚΑΤΕΡΙΝΗΣ</t>
  </si>
  <si>
    <t>mail@11dim-kater.pie.sch.gr</t>
  </si>
  <si>
    <t>ΦΛΕΜΙΓΚ 10</t>
  </si>
  <si>
    <t>ΟΛΟΗΜΕΡΟ ΔΗΜΟΤΙΚΟ ΣΧΟΛΕΙΟ ΓΑΝΟΧΩΡΑΣ</t>
  </si>
  <si>
    <t>mail@dim-ganoch.pie.sch.gr</t>
  </si>
  <si>
    <t>Γανόχωρα</t>
  </si>
  <si>
    <t>ΜΕΓΑΛΟΥ ΑΛΕΞΑΝΔΡΟΥ 29</t>
  </si>
  <si>
    <t>ΝΗΠΙΑΓΩΓΕΙΟ ΒΡΟΝΤΟΥΣ</t>
  </si>
  <si>
    <t>mail@1nip-vront.pie.sch.gr</t>
  </si>
  <si>
    <t>ΒΡΟΝΤΟΥΣ</t>
  </si>
  <si>
    <t>ΒΡΟΝΤΟΥ</t>
  </si>
  <si>
    <t>12ο  ΝΗΠΙΑΓΩΓΕΙΟ ΚΑΤΕΡΙΝΗΣ</t>
  </si>
  <si>
    <t>mail@12nip-kater.pie.sch.gr</t>
  </si>
  <si>
    <t>ΡΩΜΑΝΟΥ 14</t>
  </si>
  <si>
    <t>11ο ΝΗΠΙΑΓΩΓΕΙΟ ΚΑΤΕΡΙΝΗΣ</t>
  </si>
  <si>
    <t>mail@11nip-kater.pie.sch.gr</t>
  </si>
  <si>
    <t>ΦΛΕΜΙΝΓΚ 10</t>
  </si>
  <si>
    <t>3ο  ΔΗΜΟΤΙΚΟ ΣΧΟΛΕΙΟ ΑΙΓΙΝΙΟΥ</t>
  </si>
  <si>
    <t>mail@3dim-aigin.pie.sch.gr</t>
  </si>
  <si>
    <t>ΑΙΓΙΝΙΟ</t>
  </si>
  <si>
    <t>ΚΙΛΚΙΣΙΟΥ 6</t>
  </si>
  <si>
    <t>ΔΗΜΟΤΙΚΟ ΣΧΟΛΕΙΟ ΜΑΚΡΥΓΙΑΛΟΥ ΠΙΕΡΙΑΣ 9390027</t>
  </si>
  <si>
    <t>mail@dim-makryg.pie.sch.gr</t>
  </si>
  <si>
    <t>ΜΑΚΡΥΓΙΑΛΟΥ-ΠΙΕΡΙΑΣ</t>
  </si>
  <si>
    <t>ΜΑΚΡΥΓΙΑΛΟΣ</t>
  </si>
  <si>
    <t>ΟΛΟΗΜΕΡΟ ΝΗΠΙΑΓΩΓΕΙΟ ΑΓΙΟΥ ΣΠΥΡΙΔΩΝΑ</t>
  </si>
  <si>
    <t>mail@nip-ag-spyrid.pie.sch.gr</t>
  </si>
  <si>
    <t>ΑΓΙΟΥ ΣΠΥΡΙΔΩΝΑ</t>
  </si>
  <si>
    <t>8ο ΝΗΠΙΑΓΩΓΕΙΟ ΚΑΤΕΡΙΝΗΣ</t>
  </si>
  <si>
    <t>mail@8nip-kater.pie.sch.gr</t>
  </si>
  <si>
    <t>Α ΠΑΡΟΔΟΣ ΠΡΙΑΜΟΥ 10</t>
  </si>
  <si>
    <t>15ο ΝΗΠΙΑΓΩΓΕΙΟ ΚΑΤΕΡΙΝΗΣ</t>
  </si>
  <si>
    <t>mail@15nip-kater.pie.sch.gr</t>
  </si>
  <si>
    <t>ΣΒΟΡΩΝΟΥ 15</t>
  </si>
  <si>
    <t>1ο ΝΗΠΙΑΓΩΓΕΙΟ ΛΙΤΟΧΩΡΟ - ΚΑΛΑΚΑΝΕΙΟ</t>
  </si>
  <si>
    <t>mail@1nip-litoch.pie.sch.gr</t>
  </si>
  <si>
    <t>ΛΙΤΟΧΩΡΟ</t>
  </si>
  <si>
    <t>ΔΗΜΗΤΡΙΟΥ ΚΑΛΑΚΑΝΗ 9</t>
  </si>
  <si>
    <t>13ο ΝΗΠΙΑΓΩΓΕΙΟ ΚΑΤΕΡΙΝΗΣ</t>
  </si>
  <si>
    <t>mail@13nip-kater.pie.sch.gr</t>
  </si>
  <si>
    <t>ΠΛΑΤΩΝΟΣ 39</t>
  </si>
  <si>
    <t>1ο  ΔΗΜΟΤΙΚΟ ΣΧΟΛΕΙΟ ΑΙΓΙΝΙΟΥ 9390003</t>
  </si>
  <si>
    <t>1d@sch.gr</t>
  </si>
  <si>
    <t>ΑΘΑΝΑΣΙΟΥ ΔΙΑΚΟΥ 2</t>
  </si>
  <si>
    <t>ΔΗΜΟΤΙΚΟ ΣΧΟΛΕΙΟ ΑΓΙΟΥ ΣΠΥΡΙΔΩΝΑ</t>
  </si>
  <si>
    <t>mail@dim-ag-spyrid.pie.sch.gr</t>
  </si>
  <si>
    <t>1ο  ΔΗΜΟΤΙΚΟ ΣΧΟΛΕΙΟ ΛΙΤΟΧΩΡΟΥ</t>
  </si>
  <si>
    <t>mail@1dim-litoch.pie.sch.gr</t>
  </si>
  <si>
    <t>ΝΙΚΟΛΑΟΥ ΕΠΙΣΚΟΠΟΥ ΚΙΤΡΟΥΣ 28</t>
  </si>
  <si>
    <t>ΔΗΜΟΤΙΚΟ ΣΧΟΛΕΙΟ ΚΙΤΡΟΥΣ</t>
  </si>
  <si>
    <t>mail@dim-kitrous.pie.sch.gr</t>
  </si>
  <si>
    <t>ΚΙΤΡΟΣ</t>
  </si>
  <si>
    <t>ΔΗΜΟΤΙΚΟ ΣΧΟΛΕΙΟ ΑΝΔΡΟΜΑΧΗΣ</t>
  </si>
  <si>
    <t>mail@dim-androm.pie.sch.gr</t>
  </si>
  <si>
    <t>ΑΝΔΡΟΜΑΧΗ</t>
  </si>
  <si>
    <t>ΔΙΚΑΙΟΣΥΝΗΣ 2</t>
  </si>
  <si>
    <t>2ο  ΝΗΠΙΑΓΩΓΕΙΟ ΑΙΓΙΝΙΟΥ - ΡΕΝΑ ΚΑΡΘΑΙΟΥ</t>
  </si>
  <si>
    <t>mail@2nip-aigin.pie.sch.gr</t>
  </si>
  <si>
    <t>ΚΡΥΣΤΑΛΛΟΠΟΥΛΟΥ 4</t>
  </si>
  <si>
    <t>2ο ΔΗΜΟΤΙΚΟ ΣΧΟΛΕΙΟ ΑΙΓΙΝΙΟΥ</t>
  </si>
  <si>
    <t>mail@2dim-aigin.pie.sch.gr</t>
  </si>
  <si>
    <t>ΚΡΟΥΣΤΑΛΛΟΠΟΥΛΟΥ 6</t>
  </si>
  <si>
    <t>1ο  ΔΗΜΟΤΙΚΟ ΣΧΟΛΕΙΟ ΛΕΠΤΟΚΑΡΥΑΣ</t>
  </si>
  <si>
    <t>mail@1dim-leptok.pie.sch.gr</t>
  </si>
  <si>
    <t>Δ.ΓΟΥΝΑΡΗ 2</t>
  </si>
  <si>
    <t>1ο ΔΗΜΟΤΙΚΟ ΣΧΟΛΕΙΟ ΚΑΤΕΡΙΝΗΣ</t>
  </si>
  <si>
    <t>mail@1dim-kater.pie.sch.gr</t>
  </si>
  <si>
    <t>ΙΠΠΟΚΡΑΤΟΥΣ 3</t>
  </si>
  <si>
    <t>2ο  ΝΗΠΙΑΓΩΓΕΙΟ ΛΙΤΟΧΩΡΟΥ</t>
  </si>
  <si>
    <t>mail@2nip-litoch.pie.sch.gr</t>
  </si>
  <si>
    <t>ΑΓΙΟΥ ΓΕΩΡΓΙΟΥ 66</t>
  </si>
  <si>
    <t>2ο ΔΗΜΟΤΙΚΟ ΣΧΟΛΕΙΟ ΛΙΤΟΧΩΡΟΥ</t>
  </si>
  <si>
    <t>mail@2dim-litoch.pie.sch.gr</t>
  </si>
  <si>
    <t>ΑΓΙΟΥ ΓΕΩΡΓΙΟΥ 64</t>
  </si>
  <si>
    <t>3ο ΔΗΜΟΤΙΚΟ ΣΧΟΛΕΙΟ ΛΙΤΟΧΩΡΟΥ</t>
  </si>
  <si>
    <t>mail@3dim-litoch.pie.sch.gr</t>
  </si>
  <si>
    <t>ΔΗΜΟΚΡΙΤΟΥ 14</t>
  </si>
  <si>
    <t>5ο ΔΗΜΟΤΙΚΟ ΣΧΟΛΕΙΟ ΚΑΤΕΡΙΝΗΣ</t>
  </si>
  <si>
    <t>mail@5dim-kater.pie.sch.gr</t>
  </si>
  <si>
    <t>6ο ΔΗΜΟΤΙΚΟ ΣΧΟΛΕΙΟ ΚΑΤΕΡΙΝΗΣ</t>
  </si>
  <si>
    <t>mail@6dim-kater.pie.sch.gr</t>
  </si>
  <si>
    <t>ΕΙΚΟΣΤΗΣ ΟΓΔΟΗΣ ΟΚΤΩΒΡΙΟΥ 15</t>
  </si>
  <si>
    <t>ΔΗΜΟΤΙΚΟ ΣΧΟΛΕΙΟ ΚΑΛΛΙΘΕΑΣ  «ΟΛΥΜΠΙΑΔΑ»</t>
  </si>
  <si>
    <t>mail@dim-kallith.pie.sch.gr</t>
  </si>
  <si>
    <t>3ης ΣΕΠΤΕΜΒΡΙΟΥ 56</t>
  </si>
  <si>
    <t>ΔΗΜΟΤΙΚΟ ΣΧΟΛΕΙΟ ΒΡΟΝΤΟΥΣ</t>
  </si>
  <si>
    <t>mail@dim-vront.pie.sch.gr</t>
  </si>
  <si>
    <t>Βροντού</t>
  </si>
  <si>
    <t>12ο ΔΗΜΟΤΙΚΟ ΣΧΟΛΕΙΟ ΚΑΤΕΡΙΝΗΣ</t>
  </si>
  <si>
    <t>mail@12dim-kater.pie.sch.gr</t>
  </si>
  <si>
    <t>ΡΩΜΑΝΟΥ 18</t>
  </si>
  <si>
    <t>13ο ΔΗΜΟΤΙΚΟ ΣΧΟΛΕΙΟ ΚΑΤΕΡΙΝΗΣ</t>
  </si>
  <si>
    <t>mail@13dim-kater.pie.sch.gr</t>
  </si>
  <si>
    <t>ΔΗΜΟΤΙΚΟ ΣΧΟΛΕΙΟ ΔΙΟΥ</t>
  </si>
  <si>
    <t>mail@dim-diou.pie.sch.gr</t>
  </si>
  <si>
    <t>ΔΙΟΝ ΠΙΕΡΙΑΣ</t>
  </si>
  <si>
    <t>ΔΗΜΟΤΙΚΟ ΣΧΟΛΕΊΟ ΔΙΟΥ</t>
  </si>
  <si>
    <t>15ο ΔΗΜΟΤΙΚΟ ΣΧΟΛΕΙΟ ΚΑΤΕΡΙΝΗΣ</t>
  </si>
  <si>
    <t>mail@15dim-kater.pie.sch.gr</t>
  </si>
  <si>
    <t>ΔΗΜΟΤΙΚΟ ΣΧΟΛΕΙΟ ΚΑΡΙΤΣΑΣ ΠΙΕΡΙΑΣ</t>
  </si>
  <si>
    <t>mail@dim-karits.pie.sch.gr</t>
  </si>
  <si>
    <t xml:space="preserve">ΚΑΡΙΤΣΑ </t>
  </si>
  <si>
    <t>ΑΘΑΝΑΣΙΟΥ ΤΣΑΚΝΑΚΗ 3</t>
  </si>
  <si>
    <t>ΔΗΜΟΤΙΚΟ ΣΧΟΛΕΙΟ ΠΛΑΤΑΜΩΝΑ</t>
  </si>
  <si>
    <t>mail@dim-platam.pie.sch.gr</t>
  </si>
  <si>
    <t>ΠΛΑΤΑΜΩΝΑΣ</t>
  </si>
  <si>
    <t>ΔΗΜΟΤΙΚΟ ΣΧΟΛΕΙΟ ΝΕΑΣ ΕΦΕΣΟΥ</t>
  </si>
  <si>
    <t>mail@dim-n-efesou.pie.sch.gr</t>
  </si>
  <si>
    <t>Νέα  Έφεσος</t>
  </si>
  <si>
    <t>ΝΕΑ ΕΦΕΣΟΣ</t>
  </si>
  <si>
    <t>ΟΛΟΗΜΕΡΟ ΔΗΜΟΤΙΚΟ ΣΧΟΛΕΙΟ ΠΕΡΙΣΤΑΣΗΣ</t>
  </si>
  <si>
    <t>mail@dim-perist.pie.sch.gr</t>
  </si>
  <si>
    <t>ΠΕΡΙΣΤΑΣΗ</t>
  </si>
  <si>
    <t>ΜΑΚΕΔΟΝΙΑΣ 15</t>
  </si>
  <si>
    <t>ΔΗΜΟΤΙΚΟ    ΣΧΟΛΕΙΟ   ΚΟΝΤΑΡΙΩΤΙΣΣΑΣ</t>
  </si>
  <si>
    <t>mail@dim-kontar.pie.sch.gr</t>
  </si>
  <si>
    <t>ΚΟΝΤΑΡΙΩΤΙΣΣΑ</t>
  </si>
  <si>
    <t>ΚΟΝΤΑΡΙΩΤΙΣΣΑ   ΠΙΕΡΙΑΣ</t>
  </si>
  <si>
    <t>ΔΗΜΟΤΙΚΟ ΣΧΟΛΕΙΟ ΣΒΟΡΩΝΟΥ</t>
  </si>
  <si>
    <t>mail@dim-svoron.pie.sch.gr</t>
  </si>
  <si>
    <t>ΣΒΟΡΩΝΟΣ</t>
  </si>
  <si>
    <t>ΑΓΙΟΥ ΑΝΤΩΝΙΟΥ 42</t>
  </si>
  <si>
    <t>ΔΗΜΟΤΙΚΟ ΣΧΟΛΕΙΟ ΚΟΡΙΝΟΥ</t>
  </si>
  <si>
    <t>mail@dim-korin.pie.sch.gr</t>
  </si>
  <si>
    <t>ΙΩΑΝΝΗ ΜΕΤΑΞΑ  16</t>
  </si>
  <si>
    <t>23ο ΝΗΠΙΑΓΩΓΕΙΟ ΚΑΤΕΡΙΝΗΣ</t>
  </si>
  <si>
    <t>mail@23nip-kater.pie.sch.gr</t>
  </si>
  <si>
    <t>16ο ΔΗΜΟΤΙΚΟ ΣΧΟΛΕΙΟ ΚΑΤΕΡΙΝΗΣ</t>
  </si>
  <si>
    <t>mail@16dim-kater.pie.sch.gr</t>
  </si>
  <si>
    <t>ΑΓΙΟΥ ΧΡΙΣΤΟΦΟΡΟΥ 1</t>
  </si>
  <si>
    <t>25ο ΝΗΠΙΑΓΩΓΕΙΟ ΚΑΤΕΡΙΝΗΣ</t>
  </si>
  <si>
    <t>mail@25nip-kater.pie.sch.gr</t>
  </si>
  <si>
    <t>ΑΓ.ΧΡΙΣΤΟΦΟΡΟΥ 1</t>
  </si>
  <si>
    <t>17ο ΔΗΜΟΤΙΚΟ ΣΧΟΛΕΙΟ ΚΑΤΕΡΙΝΗΣ</t>
  </si>
  <si>
    <t>mail@17dim-kater.pie.sch.gr</t>
  </si>
  <si>
    <t>Οδυσσέα Ελύτη 17</t>
  </si>
  <si>
    <t>18ο ΔΗΜΟΤΙΚΟ ΣΧΟΛΕΙΟ ΚΑΤΕΡΙΝΗΣ</t>
  </si>
  <si>
    <t>mail@18dim-kater.pie.sch.gr</t>
  </si>
  <si>
    <t>ΑΝΤΙΣΘΕΝΟΥΣ 1</t>
  </si>
  <si>
    <t>19ο ΔΗΜΟΤΙΚΟ ΣΧΟΛΕΙΟ ΚΑΤΕΡΙΝΗΣ</t>
  </si>
  <si>
    <t>mail@19dim-kater.pie.sch.gr</t>
  </si>
  <si>
    <t>ΤΥΡΤΑΙΟΥ 2</t>
  </si>
  <si>
    <t>Π.Ε. ΣΕΡΡΩΝ</t>
  </si>
  <si>
    <t>29ο ΝΗΠΙΑΓΩΓΕΙΟ ΣΕΡΡΩΝ</t>
  </si>
  <si>
    <t>mail@29nip-serron.ser.sch.gr</t>
  </si>
  <si>
    <t>ΣΕΡΡΩΝ</t>
  </si>
  <si>
    <t>ΕΥΖΩΝΩΝ 7</t>
  </si>
  <si>
    <t>24ο ΔΗΜΟΤΙΚΟ ΣΧΟΛΕΙΟ ΣΕΡΡΩΝ</t>
  </si>
  <si>
    <t>mail@24dim-serron.ser.sch.gr</t>
  </si>
  <si>
    <t>Σέρρες</t>
  </si>
  <si>
    <t>ΕΛ. ΒΕΝΙΖΕΛΟΥ 92</t>
  </si>
  <si>
    <t>12ο ΝΗΠΙΑΓΩΓΕΙΟ ΣΕΡΡΩΝ</t>
  </si>
  <si>
    <t>mail@12nip-serron.ser.sch.gr</t>
  </si>
  <si>
    <t>ΒΕΝΙΖΕΛΟΥ 137</t>
  </si>
  <si>
    <t>8ο ΔΗΜΟΤΙΚΟ ΣΧΟΛΕΙΟ ΣΕΡΡΩΝ</t>
  </si>
  <si>
    <t>mail@8dim-serron.ser.sch.gr</t>
  </si>
  <si>
    <t>ΣΕΡΡΕΣ</t>
  </si>
  <si>
    <t>ΚΕΡΑΣΟΥΝΤΟΣ 2</t>
  </si>
  <si>
    <t>ΝΗΠΙΑΓΩΓΕΙΟ ΛΕΥΚΩΝΑ</t>
  </si>
  <si>
    <t>mail@nip-lefkon.ser.sch.gr</t>
  </si>
  <si>
    <t>ΛΕΥΚΩΝΑ</t>
  </si>
  <si>
    <t>ΗΛ. ΛΑΥΡΕΝΤΙΔΗ 6</t>
  </si>
  <si>
    <t>10ο ΔΗΜΟΤΙΚΟ ΣΧΟΛΕΙΟ ΣΕΡΡΩΝ</t>
  </si>
  <si>
    <t>mail@10dim-serron.ser.sch.gr</t>
  </si>
  <si>
    <t>ΕΛΕΥΘΕΡΙΟΥ ΒΕΝΙΖΕΛΟΥ 92</t>
  </si>
  <si>
    <t>20ο ΔΗΜΟΤΙΚΟ ΣΧΟΛΕΙΟ ΣΕΡΡΩΝ</t>
  </si>
  <si>
    <t>mail@20dim-serron.ser.sch.gr</t>
  </si>
  <si>
    <t>Αναστασίου Χρυσάφη 36</t>
  </si>
  <si>
    <t>7ο ΝΗΠΙΑΓΩΓΕΙΟ ΣΕΡΡΩΝ</t>
  </si>
  <si>
    <t>mail@7nip-serron.ser.sch.gr</t>
  </si>
  <si>
    <t>ΑΙΝΟΥ 16</t>
  </si>
  <si>
    <t>7ο ΔΗΜΟΤΙΚΟ ΣΧΟΛΕΙΟ ΣΕΡΡΩΝ</t>
  </si>
  <si>
    <t>mail@7dim-serron.ser.sch.gr</t>
  </si>
  <si>
    <t>ΑΘ. ΜΠΕΚΙΑΡΗ 7</t>
  </si>
  <si>
    <t>2ο ΝΗΠΙΑΓΩΓΕΙΟ ΣΕΡΡΩΝ</t>
  </si>
  <si>
    <t>mail@2nip-serron.ser.sch.gr</t>
  </si>
  <si>
    <t>ΜΠΙΖΑΝΙΟΥ 1</t>
  </si>
  <si>
    <t>9ο  ΝΗΠΙΑΓΩΓΕΙΟ ΣΕΡΡΩΝ</t>
  </si>
  <si>
    <t>mail@9nip-serron.ser.sch.gr</t>
  </si>
  <si>
    <t>13ο ΝΗΠΙΑΓΩΓΕΙΟ ΣΕΡΡΩΝ</t>
  </si>
  <si>
    <t>mail@13nip-serron.ser.sch.gr</t>
  </si>
  <si>
    <t>ΜΙΑΟΥΛΗ 17</t>
  </si>
  <si>
    <t>17ο  ΝΗΠΙΑΓΩΓΕΙΟ ΣΕΡΡΩΝ</t>
  </si>
  <si>
    <t>mail@17nip-serron.ser.sch.gr</t>
  </si>
  <si>
    <t>ΚΙΣΣΑΒΟΥ 12</t>
  </si>
  <si>
    <t>6ο ΔΗΜΟΤΙΚΟ ΣΧΟΛΕΙΟ ΣΕΡΡΩΝ</t>
  </si>
  <si>
    <t>mail@6dim-serron.ser.sch.gr</t>
  </si>
  <si>
    <t>ΑΘΑΝΑΣΙΟΥ ΜΑΥΡΙΔΗ 2</t>
  </si>
  <si>
    <t>2ο ΔΗΜΟΤΙΚΟ ΣΧΟΛΕΙΟ ΣΕΡΡΩΝ</t>
  </si>
  <si>
    <t>mail@2dim-serron.ser.sch.gr</t>
  </si>
  <si>
    <t>ΝΙΓΡΙΤΑΣ 128</t>
  </si>
  <si>
    <t>ΔΗΜΟΤΙΚΟ ΣΧΟΛΕΙΟ ΛΕΥΚΩΝΑ</t>
  </si>
  <si>
    <t>mail@dim-lefkon.ser.sch.gr</t>
  </si>
  <si>
    <t>ΛΕΥΚΩΝΑΣ</t>
  </si>
  <si>
    <t>ΟΜΗΡΩΝ 3</t>
  </si>
  <si>
    <t>20ο  ΝΗΠΙΑΓΩΓΕΙΟ ΣΕΡΡΩΝ</t>
  </si>
  <si>
    <t>mail@20nip-serron.ser.sch.gr</t>
  </si>
  <si>
    <t>ΑΘΑΝΑΣΙΟΥ ΜΠΕΚΙΑΡΗ 7</t>
  </si>
  <si>
    <t>14ο ΔΗΜΟΤΙΚΟ ΣΧΟΛΕΙΟ ΣΕΡΡΩΝ</t>
  </si>
  <si>
    <t>mail@14dim-serron.ser.sch.gr</t>
  </si>
  <si>
    <t>Άγιος Ιωάννης Σερρών</t>
  </si>
  <si>
    <t>ΜΙΝΩΟΣ</t>
  </si>
  <si>
    <t>21ο ΝΗΠΙΑΓΩΓΕΙΟ ΣΕΡΡΩΝ</t>
  </si>
  <si>
    <t>mail@21nip-serron.ser.sch.gr</t>
  </si>
  <si>
    <t>ΝΗΠΙΑΓΩΓΕΙΟ ΠΑΛΑΙΟΚΩΜΗΣ</t>
  </si>
  <si>
    <t>mail@nip-palaiokom.ser.sch.gr</t>
  </si>
  <si>
    <t>ΑΜΦΙΠΟΛΗΣ</t>
  </si>
  <si>
    <t>ΠΑΛΑΙΟΚΩΜΗΣ</t>
  </si>
  <si>
    <t>ΠΑΛΑΙΟΚΩΜΗ ΣΕΡΡΩΝ</t>
  </si>
  <si>
    <t>1ο ΔΗΜΟΤΙΚΟ ΣΧΟΛΕΙΟ ΣΕΡΡΩΝ</t>
  </si>
  <si>
    <t>mail@1dim-serron.ser.sch.gr</t>
  </si>
  <si>
    <t>ΜΠΕΚΙΑΡΗ 7</t>
  </si>
  <si>
    <t>1ο ΝΗΠΙΑΓΩΓΕΙΟ Ν.ΣΟΥΛΙΟΥ</t>
  </si>
  <si>
    <t>mail@nip-n-souliou.ser.sch.gr</t>
  </si>
  <si>
    <t>ΕΜΜΑΝΟΥΗΛ ΠΑΠΠΑ</t>
  </si>
  <si>
    <t>Ν. ΣΟΥΛΙΟΥ</t>
  </si>
  <si>
    <t>ΝΕΟ ΣΟΥΛΙ ΣΕΡΡΩΝ</t>
  </si>
  <si>
    <t>ΔΗΜΟΤΙΚΟ ΣΧΟΛΕΙΟ ΝΕΑΣ ΖΙΧΝΗΣ ΧΡΥΣΟΣΤΟΜΕΙΟ</t>
  </si>
  <si>
    <t>mail@dim-n-zichn.ser.sch.gr</t>
  </si>
  <si>
    <t>ΝΕΑΣ ΖΙΧΝΗΣ</t>
  </si>
  <si>
    <t>NEA ZIXNH</t>
  </si>
  <si>
    <t>Ν. ΖΙΧΝΗ</t>
  </si>
  <si>
    <t>4ο ΔΗΜΟΤΙΚΟ ΣΧΟΛΕΙΟ ΣΕΡΡΩΝ</t>
  </si>
  <si>
    <t>mail@4dim-serron.ser.sch.gr</t>
  </si>
  <si>
    <t>ΤΡΙΓΛΙΑΣ 36</t>
  </si>
  <si>
    <t>18ο ΔΗΜΟΤΙΚΟ ΣΧΟΛΕΙΟ ΣΕΡΡΩΝ</t>
  </si>
  <si>
    <t>mail@18dim-serron.ser.sch.gr</t>
  </si>
  <si>
    <t>ΧΑΡΙΛΑΟΥ ΤΡΙΚΟΥΠΗ 34</t>
  </si>
  <si>
    <t>19ο  ΝΗΠΙΑΓΩΓΕΙΟ ΣΕΡΡΩΝ</t>
  </si>
  <si>
    <t>mail@19nip-serron.ser.sch.gr</t>
  </si>
  <si>
    <t>ΕΡΓΑΤΙΚΕΣ ΚΑΤΟΙΚΙΕΣ ΚΗΦΙΣΙΑΣ</t>
  </si>
  <si>
    <t>15ο ΝΗΠΙΑΓΩΓΕΙΟ ΣΕΡΡΩΝ</t>
  </si>
  <si>
    <t>mail@15nip-serron.ser.sch.gr</t>
  </si>
  <si>
    <t>ΑΘΑΝΑΣΙΟΥ ΑΡΓΥΡΟΥ 45</t>
  </si>
  <si>
    <t>ΔΗΜΟΤΙΚΟ ΣΧΟΛΕΙΟ ΚΕΡΚΙΝΗΣ</t>
  </si>
  <si>
    <t>mail@dim-kerkin.ser.sch.gr</t>
  </si>
  <si>
    <t>ΣΙΝΤΙΚΗΣ</t>
  </si>
  <si>
    <t>ΚΕΡΚΙΝΗ</t>
  </si>
  <si>
    <t>ΚΕΡΚΙΝΗ ΣΕΡΡΩΝ</t>
  </si>
  <si>
    <t>ΔΗΜΟΤΙΚΟ ΣΧΟΛΕΙΟ ΡΟΔΟΛΙΒΟΥΣ "ΟΡΦΕΑΣ"</t>
  </si>
  <si>
    <t>mail@dim-rodol.ser.sch.gr</t>
  </si>
  <si>
    <t>ΡΟΔΟΛΙΒΟΣ</t>
  </si>
  <si>
    <t>Κ. ΚΙΟΡΠΕ  2</t>
  </si>
  <si>
    <t>ΔΗΜΟΤΙΚΟ ΣΧΟΛΕΙΟ ΜΑΥΡΟΘΑΛΑΣΣΑΣ</t>
  </si>
  <si>
    <t>mail@dim-mavroth.ser.sch.gr</t>
  </si>
  <si>
    <t>ΒΙΣΑΛΤΙΑΣ</t>
  </si>
  <si>
    <t>ΜΑΥΡΟΘΑΛΑΣΣΑ</t>
  </si>
  <si>
    <t>ΜΑΥΡΟΘΑΛΑΣΣΑ ΣΕΡΡΩΝ</t>
  </si>
  <si>
    <t>12ο ΔΗΜΟΤΙΚΟ ΣΧΟΛΕΙΟ ΣΕΡΡΩΝ</t>
  </si>
  <si>
    <t>mail@12dim-serron.ser.sch.gr</t>
  </si>
  <si>
    <t>ΚΑΝΝΑΒΟΥ 2</t>
  </si>
  <si>
    <t>ΠΕΙΡΑΜΑΤΙΚΟ ΝΗΠΙΑΓΩΓΕΙΟ ΣΕΡΡΩΝ</t>
  </si>
  <si>
    <t>mail@1nip-serron.ser.sch.gr</t>
  </si>
  <si>
    <t>ΣΙΓΗΣ</t>
  </si>
  <si>
    <t>11ο  ΝΗΠΙΑΓΩΓΕΙΟ ΣΕΡΡΩΝ</t>
  </si>
  <si>
    <t>mail@11nip-serron.ser.sch.gr</t>
  </si>
  <si>
    <t>ΚΩΝΣΤΑΝΤΙΝΟΥΠΟΛΕΩΣ 74</t>
  </si>
  <si>
    <t>14ο ΝΗΠΙΑΓΩΓΕΙΟ ΣΕΡΡΩΝ</t>
  </si>
  <si>
    <t>mail@14nip-serron.ser.sch.gr</t>
  </si>
  <si>
    <t>ΚΥΠΡΟΥ 38</t>
  </si>
  <si>
    <t>ΔΗΜΟΤΙΚΟ ΣΧΟΛΕΙΟ ΣΙΤΟΧΩΡΙΟΥ</t>
  </si>
  <si>
    <t>mail@dim-sitoch.ser.sch.gr</t>
  </si>
  <si>
    <t>ΣΙΤΟΧΩΡΙ</t>
  </si>
  <si>
    <t>ΣΙΤΟΧΩΡΙ ΣΕΡΡΩΝ</t>
  </si>
  <si>
    <t>24ο ΝΗΠΙΑΓΩΓΕΙΟ ΣΕΡΡΩΝ</t>
  </si>
  <si>
    <t>mail@24nip-serron.ser.sch.gr</t>
  </si>
  <si>
    <t>ΔΥΤΙΚΗΣ ΘΡΑΚΗΣ 7</t>
  </si>
  <si>
    <t>1ο ΝΗΠΙΑΓΩΓΕΙΟ ΗΡΑΚΛΕΙΑΣ ΣΕΡΡΩΝ</t>
  </si>
  <si>
    <t>mail@1nip-irakl.ser.sch.gr</t>
  </si>
  <si>
    <t>ΗΡΑΚΛΕΙΑΣ</t>
  </si>
  <si>
    <t>ΠΑΠΑΠΕΤΡΟΥ 1</t>
  </si>
  <si>
    <t>2ο ΝΗΠΙΑΓΩΓΕΙΟ ΗΡΑΚΛΕΙΑΣ</t>
  </si>
  <si>
    <t>mail@2nip-irakl.ser.sch.gr</t>
  </si>
  <si>
    <t>25ο ΝΗΠΙΑΓΩΓΕΙΟ ΣΕΡΡΩΝ</t>
  </si>
  <si>
    <t>mail@25nip-serron.ser.sch.gr</t>
  </si>
  <si>
    <t>ΔΗΜΟΤΙΚΟ ΣΧΟΛΕΙΟ ΝΕΟΥ ΣΚΟΠΟΥ</t>
  </si>
  <si>
    <t>mail@dim-n-skopou.ser.sch.gr</t>
  </si>
  <si>
    <t>ΝΕΟΣ ΣΚΟΠΟΣ</t>
  </si>
  <si>
    <t>ΠΛ. ΕΛΕΥΘΕΡΙΑΣ 14</t>
  </si>
  <si>
    <t>4ο ΝΗΠΙΑΓΩΓΕΙΟ ΣΙΔΗΡΟΚΑΣΤΡΟΥ</t>
  </si>
  <si>
    <t>mail@4nip-sidir.ser.sch.gr</t>
  </si>
  <si>
    <t>ΣΙΔΗΡΟΚΑΣΤΡΟΥ</t>
  </si>
  <si>
    <t>ΒΑΣ. ΓΕΩΡΓΙΟΥ 64</t>
  </si>
  <si>
    <t>ΔΗΜΟΤΙΚΟ ΣΧΟΛΕΙΟ ΒΥΡΩΝΕΙΑΣ</t>
  </si>
  <si>
    <t>mail@dim-vyron.ser.sch.gr</t>
  </si>
  <si>
    <t>Βυρώνεια</t>
  </si>
  <si>
    <t>ΒΥΡΩΝΕΙΑ ΣΕΡΡΩΝ</t>
  </si>
  <si>
    <t>3ο ΔΗΜΟΤΙΚΟ ΣΧΟΛΕΙΟ ΣΙΔΗΡΟΚΑΣΤΡΟΥ</t>
  </si>
  <si>
    <t>mail@3dim-sidir.ser.sch.gr</t>
  </si>
  <si>
    <t>ΣΙΔΗΡΟΚΑΣΤΡΟ</t>
  </si>
  <si>
    <t>ΚΟΚΟΛΕΤΣΗ 22</t>
  </si>
  <si>
    <t>ΔΗΜΟΤΙΚΟ ΣΧΟΛΕΙΟ Ν.ΠΕΤΡΙΤΣΙΟΥ</t>
  </si>
  <si>
    <t>mail@dim-n-petrits.ser.sch.gr</t>
  </si>
  <si>
    <t>Ν.Πετρίτσι</t>
  </si>
  <si>
    <t>ΑΧΙΛΛΕΩΣ 5</t>
  </si>
  <si>
    <t>ΔΗΜΟΤΙΚΟ ΣΧΟΛΕΙΟ ΔΡΑΒΗΣΚΟΥ</t>
  </si>
  <si>
    <t>mail@dim-dravisk.ser.sch.gr</t>
  </si>
  <si>
    <t>ΔΡΑΒΗΣΚΟΥ</t>
  </si>
  <si>
    <t>ΔΡΑΒΗΣΚΟΣ ΣΕΡΡΩΝ</t>
  </si>
  <si>
    <t>ΔΗΜΟΤΙΚΟ ΣΧΟΛΕΙΟ Ν.ΣΟΥΛΙΟΥ</t>
  </si>
  <si>
    <t>mail@dim-n-souliou.ser.sch.gr</t>
  </si>
  <si>
    <t>Ν. ΣΟΥΛΙ ΣΕΡΡΩΝ</t>
  </si>
  <si>
    <t>Ν.ΣΟΥΛΙ ΣΕΡΡΩΝ</t>
  </si>
  <si>
    <t>ΔΗΜΟΤΙΚΟ ΣΧΟΛΕΙΟ ΝΕΟΧΩΡΙΟY</t>
  </si>
  <si>
    <t>mail@dim-neoch.ser.sch.gr</t>
  </si>
  <si>
    <t>ΝΕΟΧΩΡΙ ΣΕΡΡΩΝ</t>
  </si>
  <si>
    <t>13ο ΔΗΜΟΤΙΚΟ ΣΧΟΛΕΙΟ ΣΕΡΡΩΝ</t>
  </si>
  <si>
    <t>mail@13dim-serron.ser.sch.gr</t>
  </si>
  <si>
    <t>ΚΙΣΣΑΒΟΥ 8</t>
  </si>
  <si>
    <t>15ο ΔΗΜΟΤΙΚΟ ΣΧΟΛΕΙΟ ΣΕΡΡΩΝ</t>
  </si>
  <si>
    <t>mail@15dim-serron.ser.sch.gr</t>
  </si>
  <si>
    <t>1ο ΝΗΠΙΑΓΩΓΕΙΟ ΝΙΓΡΙΤΑΣ</t>
  </si>
  <si>
    <t>mail@1nip-nigrit.ser.sch.gr</t>
  </si>
  <si>
    <t>ΝΙΓΡΙΤΑΣ</t>
  </si>
  <si>
    <t>ΣΟΧΟΥ 5</t>
  </si>
  <si>
    <t>11ο ΔΗΜΟΤΙΚΟ ΣΧΟΛΕΙΟ ΣΕΡΡΩΝ</t>
  </si>
  <si>
    <t>mail@11dim-serron.ser.sch.gr</t>
  </si>
  <si>
    <t>ΕΛΕΥΘΕΡΙΟΥ ΒΕΝΙΖΕΛΟΥ 132</t>
  </si>
  <si>
    <t>21ο ΔΗΜΟΤΙΚΟ ΣΧΟΛΕΙΟ ΣΕΡΡΩΝ</t>
  </si>
  <si>
    <t>mail@21dim-serron.ser.sch.gr</t>
  </si>
  <si>
    <t>ΔΗΜΟΤΙΚΟ ΣΧΟΛΕΙΟ ΑΛΙΣΤΡΑΤΗΣ ΣΕΡΡΩΝ</t>
  </si>
  <si>
    <t>mail@dim-alistr.ser.sch.gr</t>
  </si>
  <si>
    <t>ΑΛΙΣΤΡΑΤΗ</t>
  </si>
  <si>
    <t>ΝΗΠΙΑΓΩΓΕΙΟ ΑΝΩ ΜΗΤΡΟΥΣΙΟΥ</t>
  </si>
  <si>
    <t>mail@nip-an-mitrous.ser.sch.gr</t>
  </si>
  <si>
    <t>ΑΝΩ ΜΗΤΡΟΥΣΙΟΥ</t>
  </si>
  <si>
    <t>ΑΝΩ ΜΗΤΡΟΥΣΙ ΣΕΡΡΩΝ</t>
  </si>
  <si>
    <t>9ο ΔΗΜΟΤΙΚΟ ΣΧΟΛΕΙΟ ΣΕΡΡΩΝ</t>
  </si>
  <si>
    <t>mail@9dim-serron.ser.sch.gr</t>
  </si>
  <si>
    <t>ΔΗΜΟΤΙΚΟ ΣΧΟΛΕΙΟ ΡΟΔΟΠΟΛΗΣ</t>
  </si>
  <si>
    <t>mail@dim-rodop.ser.sch.gr</t>
  </si>
  <si>
    <t>ΡΟΔΟΠΟΛΗ ΣΕΡΡΩΝ</t>
  </si>
  <si>
    <t>5ο ΔΗΜΟΤΙΚΟ ΣΧΟΛΕΙΟ ΣΕΡΡΩΝ</t>
  </si>
  <si>
    <t>mail@5dim-serron.ser.sch.gr</t>
  </si>
  <si>
    <t>ΠΑΡΟΔΟΣ ΔΗΜΗΤΡΙΟΥ ΜΑΡΟΥΛΗ 43</t>
  </si>
  <si>
    <t>17ο ΔΗΜΟΤΙΚΟ ΣΧΟΛΕΙΟ ΣΕΡΡΩΝ</t>
  </si>
  <si>
    <t>mail@17dim-serron.ser.sch.gr</t>
  </si>
  <si>
    <t>1ο ΔΗΜΟΤΙΚΟ ΣΧΟΛΕΙΟ ΣΙΔΗΡΟΚΑΣΤΡΟΥ</t>
  </si>
  <si>
    <t>mail@1dim-sidir.ser.sch.gr</t>
  </si>
  <si>
    <t>ΒΑΡΟΣΙ 1</t>
  </si>
  <si>
    <t>1ο ΔΗΜΟΤΙΚΟ ΣΧΟΛΕΙΟ ΝΙΓΡΙΤΑΣ</t>
  </si>
  <si>
    <t>mail@1dim-nigrit.ser.sch.gr</t>
  </si>
  <si>
    <t>ΝΙΓΡΙΤΑ</t>
  </si>
  <si>
    <t>ΑΓΓ. ΜΗΤΤΑ 1</t>
  </si>
  <si>
    <t>2ο ΔΗΜΟΤΙΚΟ ΣΧΟΛΕΙΟ ΝΙΓΡΙΤΑΣ</t>
  </si>
  <si>
    <t>mail@2dim-nigrit.ser.sch.gr</t>
  </si>
  <si>
    <t>ΔΗΜΟΚΡΑΤΙΑΣ 12</t>
  </si>
  <si>
    <t>3ο ΔΗΜΟΤΙΚΟ ΣΧΟΛΕΙΟ ΝΙΓΡΙΤΑΣ</t>
  </si>
  <si>
    <t>mail@3dim-nigrit.ser.sch.gr</t>
  </si>
  <si>
    <t>ΕΠΑΜΕΙΝΩΝΔΑ 2</t>
  </si>
  <si>
    <t>ΔΗΜΟΤΙΚΟ ΣΧΟΛΕΙΟ ΤΕΡΠΝΗΣ</t>
  </si>
  <si>
    <t>mail@dim-terpn.ser.sch.gr</t>
  </si>
  <si>
    <t>ΤΕΡΠΝΗ</t>
  </si>
  <si>
    <t>ΔΗΜΟΤΙΚΟ ΣΧΟΛΕΙΟ ΚΑΤΩ ΚΑΜΗΛΑΣ</t>
  </si>
  <si>
    <t>mail@dim-kat-kamil.ser.sch.gr</t>
  </si>
  <si>
    <t>ΚΑΤΩ ΚΑΜΗΛΑ ΣΕΡΡΩΝ</t>
  </si>
  <si>
    <t>ΔΗΜΟΤΙΚΟ ΣΧΟΛΕΙΟ ΔΗΜΗΤΡΙΤΣΙΟΥ</t>
  </si>
  <si>
    <t>mail@dim-dimitr.ser.sch.gr</t>
  </si>
  <si>
    <t>Δημητρίτσι</t>
  </si>
  <si>
    <t>ΔΗΜΗΤΡΙΤΣΙ</t>
  </si>
  <si>
    <t>ΔΗΜΟΤΙΚΟ ΣΧΟΛΕΙΟ ΣΚΟΥΤΑΡΕΩΣ</t>
  </si>
  <si>
    <t>mail@dim-skout.ser.sch.gr</t>
  </si>
  <si>
    <t>ΣΚΟΥΤΑΡΙ</t>
  </si>
  <si>
    <t>ΣΚΟΥΤΑΡΙ ΣΕΡΡΩΝ</t>
  </si>
  <si>
    <t>3ο ΔΗΜΟΤΙΚΟ ΣΧΟΛΕΙΟ ΣΕΡΡΩΝ</t>
  </si>
  <si>
    <t>mail@3dim-serron.ser.sch.gr</t>
  </si>
  <si>
    <t>ΚΩΝΣΤΑΝΤΙΝΟΥΠΟΛΕΩΣ 54</t>
  </si>
  <si>
    <t>2ο ΔΗΜΟΤΙΚΟ ΣΧΟΛΕΙΟ ΣΙΔΗΡΟΚΑΣΤΡΟΥ</t>
  </si>
  <si>
    <t>mail@2dim-sidir.ser.sch.gr</t>
  </si>
  <si>
    <t>ΝΙΚΟΛΑΟΥ ΙΝΤΖΕ 27</t>
  </si>
  <si>
    <t>19ο ΔΗΜΟΤΙΚΟ ΣΧΟΛΕΙΟ ΣΕΡΡΩΝ</t>
  </si>
  <si>
    <t>mail@19dim-serron.ser.sch.gr</t>
  </si>
  <si>
    <t>Σέρρες,</t>
  </si>
  <si>
    <t>23ο ΔΗΜΟΤΙΚΟ ΣΧΟΛΕΙΟ ΣΕΡΡΩΝ</t>
  </si>
  <si>
    <t>mail@23dim-serron.ser.sch.gr</t>
  </si>
  <si>
    <t>ΤΣΑΛΟΠΟΥΛΟΥ 10</t>
  </si>
  <si>
    <t>ΔΗΜΟΤΙΚΟ ΣΧΟΛΕΙΟ ΑΝΩ ΜΗΤΡΟΥΣΙΟΥ</t>
  </si>
  <si>
    <t>mail@dim-an-mitrous.ser.sch.gr</t>
  </si>
  <si>
    <t>ΑΝΩ ΜΗΤΡΟΥΣΙ</t>
  </si>
  <si>
    <t>ΔΗΜΟΤΙΚΟ ΣΧΟΛΕΙΟ ΠΟΝΤΙΣΜΕΝΟΥ</t>
  </si>
  <si>
    <t>mail@dim-pontism.ser.sch.gr</t>
  </si>
  <si>
    <t>ΠΟΝΤΙΣΜΕΝΟ</t>
  </si>
  <si>
    <t>ΠΟΝΤΙΣΜΕΝΟ ΣΕΡΡΩΝ</t>
  </si>
  <si>
    <t>ΔΗΜΟΤΙΚΟ ΣΧΟΛΕΙΟ ΧΡΥΣΟΥ</t>
  </si>
  <si>
    <t>mail@dim-chrys.ser.sch.gr</t>
  </si>
  <si>
    <t>ΧΡΥΣΟ ΣΕΡΡΩΝ</t>
  </si>
  <si>
    <t>ΔΗΜΟΤΙΚΟ ΣΧΟΛΕΙΟ ΣΚΟΤΟΥΣΣΗΣ</t>
  </si>
  <si>
    <t>mail@dim-skotouss.ser.sch.gr</t>
  </si>
  <si>
    <t>ΣΚΟΤΟΥΣΣΑ</t>
  </si>
  <si>
    <t>ΣΚΟΤΟΥΣΣΑ ΣΕΡΡΩΝ</t>
  </si>
  <si>
    <t>ΔΗΜΟΤΙΚΟ ΣΧΟΛΕΙΟ ΣΤΡΥΜΟΝΙΚΟΥ</t>
  </si>
  <si>
    <t>dimstrim@sch.gr</t>
  </si>
  <si>
    <t>ΣΤΡΥΜΟΝΙΚΟ</t>
  </si>
  <si>
    <t>ΣΤΡΥΜΟΝΙΚΟ ΣΕΡΡΩΝ</t>
  </si>
  <si>
    <t>1ο ΔΗΜΟΤΙΚΟ ΣΧΟΛΕΙΟ ΗΡΑΚΛΕΙΑΣ</t>
  </si>
  <si>
    <t>mail@1dim-irakl.ser.sch.gr</t>
  </si>
  <si>
    <t>ΗΡΑΚΛΕΙΑ</t>
  </si>
  <si>
    <t>ΓΥΜΝΑΣΙΑΡΧΟΥ ΑΘΑΝΑΣΙΟΥ ΦΥΛΑΚΤΟΥ 1</t>
  </si>
  <si>
    <t>2ο ΔΗΜΟΤΙΚΟ ΣΧΟΛΕΙΟ ΗΡΑΚΛΕΙΑΣ</t>
  </si>
  <si>
    <t>mail@2dim-irakl.ser.sch.gr</t>
  </si>
  <si>
    <t>ΑΘΑΝΑΣΙΟΥ ΦΥΛΑΚΤΟΥ 1</t>
  </si>
  <si>
    <t>25ο ΔΗΜΟΤΙΚΟ ΣΧΟΛΕΙΟ ΣΕΡΡΩΝ</t>
  </si>
  <si>
    <t>mail@25dim-serron.ser.sch.gr</t>
  </si>
  <si>
    <t>ΠΕΙΡΑΜΑΤΙΚΟ ΔΗΜΟΤΙΚΟ ΣΧΟΛΕΙΟ ΣΕΡΡΩΝ - ΚΩΝΣΤΑΝΤΙΝΟΣ ΚΑΡΑΜΑΝΛΗΣ</t>
  </si>
  <si>
    <t>mail@dim-peir-serron.ser.sch.gr</t>
  </si>
  <si>
    <t>ΚΩΝ. ΠΑΛΑΙΟΛΟΓΟΥ 22</t>
  </si>
  <si>
    <t>Π.Ε. ΧΑΛΚΙΔΙΚΗΣ</t>
  </si>
  <si>
    <t>ΔΗΜΟΤΙΚΟ ΣΧΟΛΕΙΟ  ΑΓΙΟΥ ΝΙΚΟΛΑΟΥ ΧΑΛΚΙΔΙΚΗΣ</t>
  </si>
  <si>
    <t>mail@dim-ag-nikol.chal.sch.gr</t>
  </si>
  <si>
    <t>ΣΙΘΩΝΙΑΣ</t>
  </si>
  <si>
    <t>ΑΓΙΟΣ ΝΙΚΟΛΑΟΣ</t>
  </si>
  <si>
    <t>ΔΗΜΟΤΙΚΟ ΣΧΟΛΕΙΟ ΣΥΚΙΑΣ ΧΑΛΚΙΔΙΚΗΣ</t>
  </si>
  <si>
    <t>mail@dim-sykias.chal.sch.gr</t>
  </si>
  <si>
    <t>ΣΥΚΙΑ</t>
  </si>
  <si>
    <t>ΔΗΜΟΤΙΚΟ ΣΧΟΛΕΙΟ ΝΙΚΗΤΗΣ</t>
  </si>
  <si>
    <t>mail@dim-nikit.chal.sch.gr</t>
  </si>
  <si>
    <t>ΝΙΚΗΤΗ Ν. ΧΑΛΚΙΔΙΚΗΣ</t>
  </si>
  <si>
    <t>ΝΙΚΗΤΗ</t>
  </si>
  <si>
    <t>1ο ΔΗΜΟΤΙΚΟ ΣΧΟΛΕΙΟ ΠΟΛΥΓΥΡΟΥ</t>
  </si>
  <si>
    <t>1dimpol@sch.gr</t>
  </si>
  <si>
    <t>ΠΟΛΥΓΥΡΟΥ</t>
  </si>
  <si>
    <t>ΠΟΛΥΓΥΡΟΣ</t>
  </si>
  <si>
    <t>Ασκληπιού 10</t>
  </si>
  <si>
    <t>ΔΗΜΟΤΙΚΟ ΣΧΟΛΕΙΟ ΜΕΓ. ΠΑΝΑΓΙΑΣ</t>
  </si>
  <si>
    <t>mail@dim-meg-panag.chal.sch.gr</t>
  </si>
  <si>
    <t>ΑΡΙΣΤΟΤΕΛΗ</t>
  </si>
  <si>
    <t>ΜΕΓ. ΠΑΝΑΓΙΑ</t>
  </si>
  <si>
    <t>Μ. ΠΑΝΑΓΙΑ</t>
  </si>
  <si>
    <t>ΔΗΜΟΤΙΚΟ ΣΧΟΛΕΙΟ ΓΕΡΑΚΙΝΗΣ-ΚΑΛΥΒΩΝ</t>
  </si>
  <si>
    <t>dimkalyv@sch.gr</t>
  </si>
  <si>
    <t>ΚΑΛΥΒΕΣ ΧΑΛΚΙΔΙΚΗΣ</t>
  </si>
  <si>
    <t>ΚΑΛΥΒΕΣ</t>
  </si>
  <si>
    <t>2ο ΔΗΜΟΤΙΚΟ ΣΧΟΛΕΙΟ ΠΟΛΥΓΥΡΟΥ</t>
  </si>
  <si>
    <t>mail@2dim-polyg.chal.sch.gr</t>
  </si>
  <si>
    <t>2ο ΝΗΠΙΑΓΩΓΕΙΟ ΚΑΣΣΑΝΔΡΕΙΑ</t>
  </si>
  <si>
    <t>mail@2nip-kassandr.chal.sch.gr</t>
  </si>
  <si>
    <t>ΚΑΣΣΑΝΔΡΑΣ</t>
  </si>
  <si>
    <t>ΚΑΣΣΑΝΔΡΕΙΑ</t>
  </si>
  <si>
    <t>ΚΑΣΣΑΝΔΡΕΙΑΣ</t>
  </si>
  <si>
    <t>4ο ΝΗΠΙΑΓΩΓΕΙΟ ΝΕΑ ΜΟΥΔΑΝΙΑ</t>
  </si>
  <si>
    <t>mail@4nip-n-moudan.chal.sch.gr</t>
  </si>
  <si>
    <t>ΝΕΑΣ ΠΡΟΠΟΝΤΙΔΑΣ</t>
  </si>
  <si>
    <t>ΝΕΑ ΜΟΥΔΑΝΙΑ</t>
  </si>
  <si>
    <t>4ο ΝΗΠΙΑΓΩΓΕΙΟ Ν.ΜΟΥΔΑΝΙΩΝ ΠΑΝΑΓΙΑ ΚΟΡΥΦΙΝΗΣ ΜΕ ΚΑΛΟΛΙΜΝΟΥ</t>
  </si>
  <si>
    <t>1ο ΝΗΠΙΑΓΩΓΕΙΟ ΑΡΝΑΙΑ</t>
  </si>
  <si>
    <t>mail@nip-arnaias.chal.sch.gr</t>
  </si>
  <si>
    <t>ΑΡΝΑΙΑ</t>
  </si>
  <si>
    <t>1ο ΝΗΠΙΑΓΩΓΕΙΟ ΓΑΛΑΤΙΣΤΑΣ</t>
  </si>
  <si>
    <t>mail@1nip-galat.chal.sch.gr</t>
  </si>
  <si>
    <t>ΓΑΛΑΤΙΣΤΑ</t>
  </si>
  <si>
    <t>1ο ΝΗΠΙΑΓΩΓΕΙΟ Ν. ΤΡΙΓΛΙΑΣ - ΤΣΑΚΩΝΕΙΟΝ</t>
  </si>
  <si>
    <t>mail@1nip-n-triglias.chal.sch.gr</t>
  </si>
  <si>
    <t>Ν. ΤΡΙΓΛΙΑ</t>
  </si>
  <si>
    <t>3ο ΝΗΠΙΑΓΩΓΕΙΟ Ν. ΚΑΛΛΙΚΡΑΤΕΙΑΣ</t>
  </si>
  <si>
    <t>3nipkallik@sch.gr</t>
  </si>
  <si>
    <t>ΠΕΡΙΟΧΗ ΑΓΙΟΥ ΝΕΚΤΑΡΙΟΥ</t>
  </si>
  <si>
    <t>ΝΕΑ ΚΑΛΛΙΚΡΑΤΕΙΑ</t>
  </si>
  <si>
    <t>2ο ΔΗΜΟΤΙΚΟ ΣΧΟΛΕΙΟ ΙΕΡΙΣΣΟΥ</t>
  </si>
  <si>
    <t>mail@2dim-ieriss.chal.sch.gr</t>
  </si>
  <si>
    <t>ΙΕΡΙΣΣΟΣ</t>
  </si>
  <si>
    <t>26ης ΣΕΠΤΕΜΒΡΙΟΥ 48</t>
  </si>
  <si>
    <t>1ο ΝΗΠΙΑΓΩΓΕΙΟ ΙΕΡΙΣΣΟΥ</t>
  </si>
  <si>
    <t>mail@1nip-ieriss.chal.sch.gr</t>
  </si>
  <si>
    <t>ΙΕΡΙΣΣΟΥ</t>
  </si>
  <si>
    <t>ΑΓ. ΟΡΟΥΣ</t>
  </si>
  <si>
    <t>1ο ΝΗΠΙΑΓΩΓΕΙΟ ΟΡΜΥΛΙΑΣ</t>
  </si>
  <si>
    <t>mail@1nip-ormyl.chal.sch.gr</t>
  </si>
  <si>
    <t>ΟΡΜΥΛΙΑ</t>
  </si>
  <si>
    <t>1ο ΝΗΠΙΑΓΩΓΕΙΟ Ν. ΜΟΥΔΑΝΙΑ</t>
  </si>
  <si>
    <t>mail@1nip-n-moudan.chal.sch.gr</t>
  </si>
  <si>
    <t>Ν. ΜΟΥΔΑΝΙΑ</t>
  </si>
  <si>
    <t>Λ.ΕΛΕΥΘΕΡΙΑΣ 34</t>
  </si>
  <si>
    <t>1ο ΝΗΠΙΑΓΩΓΕΙΟ ΣΥΚΙΑΣ</t>
  </si>
  <si>
    <t>mail@1nip-sykias.chal.sch.gr</t>
  </si>
  <si>
    <t>ΝΗΠΙΑΓΩΓΕΙΟ ΑΓΙΟΥ ΝΙΚΟΛΑΟΥ</t>
  </si>
  <si>
    <t>mail@nip-ag-nikol.chal.sch.gr</t>
  </si>
  <si>
    <t>1ο ΝΗΠΙΑΓΩΓΕΙΟ ΝΕΟΣ ΜΑΡΜΑΡΑΣ - ΙΩΑΝΝΗΣ ΕΜΜΑΝΟΥΗΛ</t>
  </si>
  <si>
    <t>mail@1nip-n-marmar.chal.sch.gr</t>
  </si>
  <si>
    <t>ΝΕΟΣ ΜΑΡΜΑΡΑΣ</t>
  </si>
  <si>
    <t>3ο ΝΗΠΙΑΓΩΓΕΙΟ ΠΟΛΥΓΥΡΟΥ</t>
  </si>
  <si>
    <t>3nippoly@sch.gr</t>
  </si>
  <si>
    <t>ΛΟΥΚΙ ΠΟΛΥΓΥΡΟΣ</t>
  </si>
  <si>
    <t>1ο ΝΗΠΙΑΓΩΓΕΙΟ ΝΕΑ ΦΩΚΑΙΑΣ</t>
  </si>
  <si>
    <t>mail@nip-n-fokaias.chal.sch.gr</t>
  </si>
  <si>
    <t>ΝΕΑ ΦΩΚΑΙΑ</t>
  </si>
  <si>
    <t>Ν. ΦΩΚΑΙΑ</t>
  </si>
  <si>
    <t>3/θ 1ο ΝΗΠΙΑΓΩΓΕΙΟ ΝΙΚΗΤΗΣ</t>
  </si>
  <si>
    <t>mail@nip-nikit.chal.sch.gr</t>
  </si>
  <si>
    <t>3ο ΝΗΠΙΑΓΩΓΕΙΟ Ν. ΜΟΥΔΑΝΙΑ</t>
  </si>
  <si>
    <t>3nipmoud@sch.gr</t>
  </si>
  <si>
    <t>ΛΕΩΦ. ΕΛΕΥΘΕΡΙΑΣ</t>
  </si>
  <si>
    <t>ΔΗΜΟΤΙΚΟ ΣΧΟΛΕΙΟ ΟΥΡΑΝΟΥΠΟΛΗΣ</t>
  </si>
  <si>
    <t>mail@dim-ouran.chal.sch.gr</t>
  </si>
  <si>
    <t>ΟΥΡΑΝΟΥΠΟΛΗ</t>
  </si>
  <si>
    <t>ΔΗΜΟΤΙΚΟ ΣΧΟΛΕΙΟ Ν.ΜΑΡΜΑΡΑ</t>
  </si>
  <si>
    <t>mail@dim-n-marmar.chal.sch.gr</t>
  </si>
  <si>
    <t>Ν.ΜΑΡΜΑΡΑΣ</t>
  </si>
  <si>
    <t>ΝΗΠΙΑΓΩΓΕΙΟ Μ. ΠΑΝΑΓΙΑ</t>
  </si>
  <si>
    <t>mail@1nip-meg-flogit.chal.sch.gr</t>
  </si>
  <si>
    <t>ΝΗΠΙΑΓΩΓΕΙΟ ΦΛΟΓΗΤΑ</t>
  </si>
  <si>
    <t>mail@nip-n-flogit.chal.sch.gr</t>
  </si>
  <si>
    <t>ΦΛΟΓΗΤΑ</t>
  </si>
  <si>
    <t>Β. ΓΕΩΡΓΙΟΥ</t>
  </si>
  <si>
    <t>3ο ΔΗΜΟΤΙΚΟ ΣΧΟΛΕΙΟ ΠΟΛΥΓΥΡΟΥ</t>
  </si>
  <si>
    <t>mail@3dim-polyg.chal.sch.gr</t>
  </si>
  <si>
    <t>ΓΚΙΩΣΗ ΑΛΩΝΙ - ΠΟΛΥΓΥΡΟΣ</t>
  </si>
  <si>
    <t>ΔΗΜΟΤΙΚΟ ΣΧΟΛΕΙΟ ΟΡΜΥΛΙΑΣ</t>
  </si>
  <si>
    <t>mail@dim-ormyl.chal.sch.gr</t>
  </si>
  <si>
    <t>ΟΡΜΥΛΙΑ 1</t>
  </si>
  <si>
    <t>1ο ΝΗΠΙΑΓΩΓΕΙΟ ΠΕΥΚΟΧΩΡΙΟΥ</t>
  </si>
  <si>
    <t>mail@nip-pefkoch.chal.sch.gr</t>
  </si>
  <si>
    <t>ΠΕΥΚΟΧΩΡΙ</t>
  </si>
  <si>
    <t>2ο ΝΗΠΙΑΓΩΓΕΙΟ ΝΕΩΝ ΜΟΥΔΑΝΙΩΝ</t>
  </si>
  <si>
    <t>mail@2nip-n-moudan.chal.sch.gr</t>
  </si>
  <si>
    <t>Ν. ΜΟΥΔΑΝΙΩΝ</t>
  </si>
  <si>
    <t>Φ. ΟΡΦΑΝΙΔΗ 31</t>
  </si>
  <si>
    <t>ΔΗΜΟΤΙΚΟ ΣΧΟΛΕΙΟ ΠΕΥΚΟΧΩΡΙΟΥ</t>
  </si>
  <si>
    <t>mail@dim-pefkoch.chal.sch.gr</t>
  </si>
  <si>
    <t>2ο ΝΗΠΙΑΓΩΓΕΙΟ ΠΟΛΥΓΥΡΟΥ</t>
  </si>
  <si>
    <t>mail@2nip-polyg.chal.sch.gr</t>
  </si>
  <si>
    <t>ΑΣΚΛΗΠΙΟΥ - ΠΟΛΥΓΥΡΟΣ</t>
  </si>
  <si>
    <t>ΔΗΜΟΤΙΚΟ ΣΧΟΛΕΙΟ ΑΜΜΟΛΙΑΝΗΣ</t>
  </si>
  <si>
    <t>mail@dim-ammol.chal.sch.gr</t>
  </si>
  <si>
    <t>ΑΜΜΟΛΙΑΝΗ</t>
  </si>
  <si>
    <t>ΔΗΜΟΤΙΚΟ ΣΧΟΛΕΙΟ ΓΑΛΑΤΙΣΤΑΣ</t>
  </si>
  <si>
    <t>mail@dim-galat.chal.sch.gr</t>
  </si>
  <si>
    <t>1ο ΔΗΜΟΤΙΚΟ ΣΧΟΛΕΙΟ ΙΕΡΙΣΣΟΥ«ΠΑΝΤΕΛΗΣ ΠΑΝΤΕΛΙΆΔΗΣ»</t>
  </si>
  <si>
    <t>mail@1dim-ieriss.chal.sch.gr</t>
  </si>
  <si>
    <t>ΔΗΜΟΤΙΚΟ ΣΧΟΛΕΙΟ ΠΑΛΑΙΟΧΩΡΙΟΥ</t>
  </si>
  <si>
    <t>mail@dim-palaioch.chal.sch.gr</t>
  </si>
  <si>
    <t>ΠΑΛΑΙΟΧΩΡΙ</t>
  </si>
  <si>
    <t>ΠΑΛΑΙΟΧΩΡΙ ΧΑΛΚΙΔΙΚΗΣ</t>
  </si>
  <si>
    <t>ΔΗΜΟΤΙΚΟ ΣΧΟΛΕΙΟ ΣΤΑΝΟΥ</t>
  </si>
  <si>
    <t>mail@dim-stanou.chal.sch.gr</t>
  </si>
  <si>
    <t>ΣΤΑΝΟΣ</t>
  </si>
  <si>
    <t>ΔΗΜΟΤΙΚΟ ΣΧΟΛΕΙΟ ΑΓΙΟΥ ΜΑΜΑ</t>
  </si>
  <si>
    <t>mail@dim-ag-mamant.chal.sch.gr</t>
  </si>
  <si>
    <t>ΑΓΙΟΥ ΜΑΜΑ</t>
  </si>
  <si>
    <t>ΑΓΙΟΣ ΜΑΜΑΣ ΧΑΛΚΙΔΙΚΗΣ</t>
  </si>
  <si>
    <t>ΔΗΜΟΤΙΚΟ ΣΧΟΛΕΙΟ ΑΦΥΤΟΥ</t>
  </si>
  <si>
    <t>mail@dim-afytou.chal.sch.gr</t>
  </si>
  <si>
    <t xml:space="preserve">Άφυτος </t>
  </si>
  <si>
    <t>Άφυτος Χαλκιδικής</t>
  </si>
  <si>
    <t>3ο ΔΗΜΟΤΙΚΟ ΣΧΟΛΕΙΟ ΝΕΩΝ ΜΟΥΔΑΝΙΩΝ</t>
  </si>
  <si>
    <t>3dimmoudan@sch.gr</t>
  </si>
  <si>
    <t>ΝΑΚΟΥ ΚΟΥΤΣΟΥ  23</t>
  </si>
  <si>
    <t>1ο ΔΗΜΟΤΙΚΟ ΣΧΟΛΕΙΟ Ν. ΤΡΙΓΛΙΑΣ</t>
  </si>
  <si>
    <t>dimntrig@sch.gr</t>
  </si>
  <si>
    <t>Ν. Τρίγλια</t>
  </si>
  <si>
    <t>2ο ΔΗΜΟΤΙΚΟ ΣΧΟΛΕΙΟ ΝΕΑΣ ΤΡΙΓΛΙΑΣ</t>
  </si>
  <si>
    <t>mail@2dim-n-trigl.chal.sch.gr</t>
  </si>
  <si>
    <t>ΝΕΑ ΤΡΙΓΛΙΑ</t>
  </si>
  <si>
    <t>ΔΗΜΟΤΙΚΟ ΣΧΟΛΕΙΟ ΑΡΝΑΙΑΣ</t>
  </si>
  <si>
    <t>mail@dim-arnaias.chal.sch.gr</t>
  </si>
  <si>
    <t>ΔΗΜΟΤΙΚΟ ΣΧΟΛΕΙΟ Ν.ΡΟΔΩΝ</t>
  </si>
  <si>
    <t>mail@dim-n-rodon.chal.sch.gr</t>
  </si>
  <si>
    <t>Ν.ΡΟΔΑ</t>
  </si>
  <si>
    <t>ΔΗΜΟΤΙΚΟ ΣΧΟΛΕΙΟ ΟΛΥΝΘΟΥ</t>
  </si>
  <si>
    <t>mail@dim-olynth.chal.sch.gr</t>
  </si>
  <si>
    <t>ΟΛΥΝΘΟΣ</t>
  </si>
  <si>
    <t>ΔΗΜΟΤΙΚΟ ΣΧΟΛΕΙΟ ΠΟΡΤΑΡΙΑΣ  ΧΑΛΚΙΔΙΚΗΣ</t>
  </si>
  <si>
    <t>mail@dim-portar.chal.sch.gr</t>
  </si>
  <si>
    <t>ΠΟΡΤΑΡΙΑ ΧΑΛΚΙΔΙΚΗΣ</t>
  </si>
  <si>
    <t>ΔΗΜΟΤΙΚΟ ΣΧΟΛΕΙΟ ΖΕΡΒΟΧΩΡΙΩΝ</t>
  </si>
  <si>
    <t>mail@dim-zervoch.chal.sch.gr</t>
  </si>
  <si>
    <t>ΠΑΛΑΙΟΧΩΡΑ</t>
  </si>
  <si>
    <t>ΔΗΜΟΤΙΚΟ ΣΧΟΛΕΙΟ Ν.ΠΟΤΙΔΑΙΑΣ</t>
  </si>
  <si>
    <t>mail@dim-n-potid.chal.sch.gr</t>
  </si>
  <si>
    <t>Ν.ΠΟΤΙΔΑΙΑ</t>
  </si>
  <si>
    <t>ΠΟΤΙΔΑΙΑ</t>
  </si>
  <si>
    <t>ΔΗΜΟΤΙΚΟ ΣΧΟΛΕΙΟ ΠΟΛΥΧΡΟΝΟΥ</t>
  </si>
  <si>
    <t>mail@dim-polychr.chal.sch.gr</t>
  </si>
  <si>
    <t>ΠΟΛΥΧΡΟΝΟ</t>
  </si>
  <si>
    <t>ΔΗΜΟΤΙΚΟ ΣΧΟΛΕΙΟ ΝΕΑΣ ΦΩΚΑΙΑΣ</t>
  </si>
  <si>
    <t>mail@dim-n-fokaias.chal.sch.gr</t>
  </si>
  <si>
    <t>ΔΗΜΟΤΙΚΟ ΣΧΟΛΕΙΟ ΛΑΚΚΩΜΑΤΟΣ ΧΑΛΚΙΔΙΚΗΣ</t>
  </si>
  <si>
    <t>mail@dim-lakkom.chal.sch.gr</t>
  </si>
  <si>
    <t>ΛΑΚΚΩΜΑ</t>
  </si>
  <si>
    <t>ΛΑΚΚΩΜΑ ΧΑΛΚΙΔΙΚΗΣ</t>
  </si>
  <si>
    <t>ΔΗΜΟΤΙΚΟ ΣΧΟΛΕΙΟ ΦΛΟΓΗΤΩΝ</t>
  </si>
  <si>
    <t>mail@dim-flogit.chal.sch.gr</t>
  </si>
  <si>
    <t xml:space="preserve">ΦΛΟΓΗΤΑ </t>
  </si>
  <si>
    <t>ΒΑΣΙΛΕΩΣ ΓΕΩΡΓΙΟΥ</t>
  </si>
  <si>
    <t>ΔΗΜΟΤΙΚΟ ΣΧΟΛΕΙΟ ΣΗΜΑΝΤΡΩΝ</t>
  </si>
  <si>
    <t>dimsiman@sch.gr</t>
  </si>
  <si>
    <t>Σήμαντρα</t>
  </si>
  <si>
    <t>ΣΗΜΑΝΤΡΑ ΧΑΛΚΙΔΙΚΗΣ</t>
  </si>
  <si>
    <t>ΔΗΜΟΤΙΚΟ ΣΧΟΛΕΙΟ ΠΑΛΙΟΥΡΙΟΥ - ΑΓΙΑΣ ΠΑΡΑΣΚΕΥΗΣ</t>
  </si>
  <si>
    <t>mail@dim-paliour.chal.sch.gr</t>
  </si>
  <si>
    <t>ΠΑΛΙΟΥΡΙ</t>
  </si>
  <si>
    <t>ΠΑΛΙΟΥΡΙ ΧΑΛΚΙΔΙΚΗΣ</t>
  </si>
  <si>
    <t>1ο ΔΗΜΟΤΙΚΟ ΣΧΟΛΕΙΟ ΝΕΑΣ ΚΑΛΛΙΚΡΑΤΕΙΑΣ</t>
  </si>
  <si>
    <t>mail@1dim-n-kallik.chal.sch.gr</t>
  </si>
  <si>
    <t>ΠΕΡΙΟΧΗ ΚΑΜΠΟΣ</t>
  </si>
  <si>
    <t>1ο ΔΗΜΟΤΙΚΟ ΣΧΟΛΕΙΟ ΚΑΣΣΑΝΔΡΕΙΑΣ</t>
  </si>
  <si>
    <t>mail@1dim-kassandr.chal.sch.gr</t>
  </si>
  <si>
    <t>1ο ΔΗΜΟΤΙΚΟ ΣΧΟΛΕΙΟ ΝΕΩΝ ΜΟΥΔΑΝΙΩΝ</t>
  </si>
  <si>
    <t>mail@1dim-n-moudan.chal.sch.gr</t>
  </si>
  <si>
    <t>Ν.ΜΟΥΔΑΝΙΑ</t>
  </si>
  <si>
    <t>ΕΙΚΟΣΤΗΣ ΟΓΔΟΗΣ ΟΚΤΩΒΡΙΟΥ 27</t>
  </si>
  <si>
    <t>2ο ΔΗΜΟΤΙΚΟ ΣΧΟΛΕΙΟ ΚΑΣΣΑΝΔΡΕΙΑΣ</t>
  </si>
  <si>
    <t>mail@2dim-kassandr.chal.sch.gr</t>
  </si>
  <si>
    <t>2ο ΔΗΜΟΤΙΚΟ ΣΧΟΛΕΙΟ ΝΕΑΣ ΚΑΛΛΙΚΡΑΤΕΙΑΣ</t>
  </si>
  <si>
    <t>mail@2dim-n-kallikr.chal.sch.gr</t>
  </si>
  <si>
    <t>ΟΣΙΑΣ ΠΑΡΑΣΚΕΥΗΣ 39</t>
  </si>
  <si>
    <t>2ο ΔΗΜΟΤΙΚΟ ΣΧΟΛΕΙΟ ΝΕΩΝ ΜΟΥΔΑΝΙΩΝ</t>
  </si>
  <si>
    <t>2dimmoud@sch.gr</t>
  </si>
  <si>
    <t>ΛΕΩΦΟΡΟΣ ΔΗΜΑΡΧΟΥ ΔΑΜΙΑΝΟΥ ΙΟΡΔΑΝΙΔΗ, ΝΕΑ ΜΟΥΔΑΝΙΑ ΧΑΛΚΙΔΙΚΗΣ</t>
  </si>
  <si>
    <t>ΝΗΠΙΑΓΩΓΕΙΟ ΑΓ. ΜΑΜΑΝΤΟΣ</t>
  </si>
  <si>
    <t>mail@nip-ag-mamant.chal.sch.gr</t>
  </si>
  <si>
    <t>ΑΓ. ΜΑΜΑ</t>
  </si>
  <si>
    <t>ΑΓ. ΜΑΜΑΣ</t>
  </si>
  <si>
    <t>4ο ΔΗΜΟΤΙΚΟ ΣΧΟΛΕΙΟ ΝΕΩΝ ΜΟΥΔΑΝΙΩΝ</t>
  </si>
  <si>
    <t>mail@4dim-n-moudan.chal.sch.gr</t>
  </si>
  <si>
    <t>ΜΟΣΧΟΝΗΣΙΩΝ-ΚΥΔΩΝΙΩΝ 71</t>
  </si>
  <si>
    <t>6ο ΝΗΠΙΑΓΩΓΕΙΟ ΝΕΩΝ ΜΟΥΔΑΝΙΩΝ</t>
  </si>
  <si>
    <t>mail@6nip-n-moudan.chal.sch.gr</t>
  </si>
  <si>
    <t>ΝΕΩΝ ΜΟΥΔΑΝΙΩΝ</t>
  </si>
  <si>
    <t>Δ.ΣΟΛΩΜΟΥ</t>
  </si>
  <si>
    <t>ΔΗΜΟΤΙΚΟ ΣΧΟΛΕΙΟ ΚΑΛΛΙΘΕΑΣ ΧΑΛΚΙΔΙΚΗΣ</t>
  </si>
  <si>
    <t>mail@dim-kallith.chal.sch.gr</t>
  </si>
  <si>
    <t>Καλλιθέα Χαλκιδικής</t>
  </si>
  <si>
    <t>ΚΡΗΤΗΣ</t>
  </si>
  <si>
    <t>Π.Ε. ΗΡΑΚΛΕΙΟΥ</t>
  </si>
  <si>
    <t>28ο ΝΗΠΙΑΓΩΓΕΙΟ ΗΡΑΚΛΕΙΟΥ</t>
  </si>
  <si>
    <t>mail@28nip-irakl.ira.sch.gr</t>
  </si>
  <si>
    <t>ΜΙΧΑΗΛ ΑΡΧΑΓΓΕΛΟΥ 47</t>
  </si>
  <si>
    <t>48ο ΔΗΜΟΤΙΚΟ ΣΧΟΛΕΙΟ ΗΡΑΚΛΕΙΟΥ</t>
  </si>
  <si>
    <t>mail@48dim-irakl.ira.sch.gr</t>
  </si>
  <si>
    <t>ΗΡΑΚΛΕΙΟ</t>
  </si>
  <si>
    <t>ΦΙΛΙΚΗΣ ΕΤΑΙΡΕΙΑΣ ΚΑΙ ΔΑΦΕΡΜΟΥ</t>
  </si>
  <si>
    <t>38ο ΝΗΠΙΑΓΩΓΕΙΟ  ΗΡΑΚΛΕΙΟΥ</t>
  </si>
  <si>
    <t>mail@38nip-irakl.ira.sch.gr</t>
  </si>
  <si>
    <t>ΑΡΓΥΡΟΚΑΣΤΡΟΥ 81</t>
  </si>
  <si>
    <t>12ο ΔΗΜΟΤΙΚΟ ΣΧΟΛΕΙΟ ΗΡΑΚΛΕΙΟΥ</t>
  </si>
  <si>
    <t>mail@12dim-irakl.ira.sch.gr</t>
  </si>
  <si>
    <t>Κράπης 4</t>
  </si>
  <si>
    <t>1ο  ΝΗΠΙΑΓΩΓΕΙΟ ΑΡΧΑΝΩΝ</t>
  </si>
  <si>
    <t>mail@1nip-an-archan.ira.sch.gr</t>
  </si>
  <si>
    <t>ΑΡΧΑΝΩΝ - ΑΣΤΕΡΟΥΣΙΩΝ</t>
  </si>
  <si>
    <t>ΑΝΩ ΑΡΧΑΝΕΣ</t>
  </si>
  <si>
    <t>ΝΙΚ.ΨΑΛΤΑΚΗ 19</t>
  </si>
  <si>
    <t>ΝΗΠΙΑΓΩΓΕΙΟ ΚΑΤΩ ΓΟΥΒΩΝ</t>
  </si>
  <si>
    <t>mail@nip-kat-gouvon.ira.sch.gr</t>
  </si>
  <si>
    <t>ΧΕΡΣΟΝΗΣΟΥ</t>
  </si>
  <si>
    <t>ΚΑΤΩ ΓΟΥΒΕΣ</t>
  </si>
  <si>
    <t>10ο ΝΗΠΙΑΓΩΓΕΙΟ ΗΡΑΚΛΕΙΟΥ ΚΡΗΤΗΣ</t>
  </si>
  <si>
    <t>mail@10nip-irakl.ira.sch.gr</t>
  </si>
  <si>
    <t>Μελιδονίου 4</t>
  </si>
  <si>
    <t>ΝΗΠΙΑΓΩΓΕΙΟ ΕΛΙΑΣ</t>
  </si>
  <si>
    <t>mail@nip-elaias.ira.sch.gr</t>
  </si>
  <si>
    <t>ΕΛΙΑΣ</t>
  </si>
  <si>
    <t>ΕΛΙΑ- ΠΕΔΙΑΔΟΣ</t>
  </si>
  <si>
    <t>4ο ΝΗΠΙΑΓΩΓΕΙΟ ΗΡΑΚΛΕΙΟΥ</t>
  </si>
  <si>
    <t>mail@4nip-irakl.ira.sch.gr</t>
  </si>
  <si>
    <t>ΜΑΡΑΘΩΝΟΣ 10</t>
  </si>
  <si>
    <t>1ο ΝΗΠΙΑΓΩΓΕΙΟ ΗΡΑΚΛΕΙΟΥ</t>
  </si>
  <si>
    <t>mail@1nip-irakl.ira.sch.gr</t>
  </si>
  <si>
    <t>ΧΙΛΙΑ ΟΧΤΑΚΟΣΙΑ ΕΒΔΟΜΗΝΤΑ ΟΧΤΩ 2</t>
  </si>
  <si>
    <t>8ο ΝΗΠΙΑΓΩΓΕΙΟ ΗΡΑΚΛΕΙΟΥ</t>
  </si>
  <si>
    <t>mail@8nip-irakl.ira.sch.gr</t>
  </si>
  <si>
    <t>ΕΜΜ. ΞΑΝΘΟΥ 13</t>
  </si>
  <si>
    <t>11ο ΝΗΠΙΑΓΩΓΕΙΟ ΗΡΑΚΛΕΙΟΥ</t>
  </si>
  <si>
    <t>mail@11nip-irakl.ira.sch.gr</t>
  </si>
  <si>
    <t>ΕΘΝΙΚΗΣ ΑΝΤΙΣΤΑΣΕΩΣ 54</t>
  </si>
  <si>
    <t>15ο ΝΗΠΙΑΓΩΓΕΙΟ ΗΡΑΚΛΕΙΟΥ</t>
  </si>
  <si>
    <t>mail@15nip-irakl.ira.sch.gr</t>
  </si>
  <si>
    <t>ΡΟΔΩΝ 10</t>
  </si>
  <si>
    <t>25ο ΝΗΠΙΑΓΩΓΕΙΟ ΗΡΑΚΛΕΙΟΥ</t>
  </si>
  <si>
    <t>mail@25nip-irakl.ira.sch.gr</t>
  </si>
  <si>
    <t>ΣΓΟΥΡΟΜΑΛΛΙΝΗΣ 1</t>
  </si>
  <si>
    <t>26ο  ΝΗΠΙΑΓΩΓΕΙΟ ΗΡΑΚΛΕΙΟΥ</t>
  </si>
  <si>
    <t>mail@26nip-irakl.ira.sch.gr</t>
  </si>
  <si>
    <t>ΜΟΥΣΣΩΝ 71</t>
  </si>
  <si>
    <t>54ο ΝΗΠΙΑΓΩΓΕΙΟ ΗΡΑΚΛΕΙΟΥ</t>
  </si>
  <si>
    <t>mail@54nip-irakl.ira.sch.gr</t>
  </si>
  <si>
    <t>ΕΒΡΟΥ ΚΑΙ ΑΡΤΑΣ 10</t>
  </si>
  <si>
    <t>31ο ΝΗΠΙΑΓΩΓΕΙΟ ΗΡΑΚΛΕΙΟΥ</t>
  </si>
  <si>
    <t>mail@31nip-irakl.ira.sch.gr</t>
  </si>
  <si>
    <t>ΛΑΠΠΑ 63</t>
  </si>
  <si>
    <t>68ο ΝΗΠΙΑΓΩΓΕΙΟ ΗΡΑΚΛΕΙΟΥ</t>
  </si>
  <si>
    <t>mail@68nip-irakl.ira.sch.gr</t>
  </si>
  <si>
    <t>ΑΛΜΠΕΡΤ ΣΒΑΪΤΣΕΡ 61</t>
  </si>
  <si>
    <t>51ο ΝΗΠΙΑΓΩΓΕΙΟ ΗΡΑΚΛΕΙΟΥ</t>
  </si>
  <si>
    <t>mail@51nip-irakl.ira.sch.gr</t>
  </si>
  <si>
    <t>Ι. ΚΑΡΔΙΤΣΗ 10</t>
  </si>
  <si>
    <t>22ο ΝΗΠΙΑΓΩΓΕΙΟ ΗΡΑΚΛΕΙΟΥ</t>
  </si>
  <si>
    <t>mail@22nip-irakl.ira.sch.gr</t>
  </si>
  <si>
    <t>Ματθαιακη 76</t>
  </si>
  <si>
    <t>ΝΗΠΙΑΓΩΓΕΙΟ ΚΑΤΩ ΑΣΙΤΩΝ</t>
  </si>
  <si>
    <t>mail@nip-kat-asiton.ira.sch.gr</t>
  </si>
  <si>
    <t>ΚΑΤΩ ΑΣΙΤΩΝ</t>
  </si>
  <si>
    <t>ΚΑΤΩ ΑΣΙΤΕΣ</t>
  </si>
  <si>
    <t>53ο  ΝΗΠΙΑΓΩΓΕΙΟ  ΗΡΑΚΛΕΙΟΥ</t>
  </si>
  <si>
    <t>mail@53nip-irakl.ira.sch.gr</t>
  </si>
  <si>
    <t>ΕΡΓΑΤΙΚΕΣ ΚΑΤΟΙΚΙΕΣ ΜΠΕΝΤΕΒΗ</t>
  </si>
  <si>
    <t>64ο  ΝΗΠΙΑΓΩΓΕΙΟ ΗΡΑΚΛΕΙΟΥ</t>
  </si>
  <si>
    <t>mail@64nip-irakl.ira.sch.gr</t>
  </si>
  <si>
    <t>ΒΟΡΕΑΔΗ &amp; ΕΡΜΗ</t>
  </si>
  <si>
    <t>5ο  ΝΗΠΙΑΓΩΓΕΙΟ ΗΡΑΚΛΕΙΟΥ</t>
  </si>
  <si>
    <t>mail@5nip-irakl.ira.sch.gr</t>
  </si>
  <si>
    <t>Π. ΠΕΡΙΔΗ 23</t>
  </si>
  <si>
    <t>23ο ΝΗΠΙΑΓΩΓΕΙΟ ΗΡΑΚΛΕΙΟΥ</t>
  </si>
  <si>
    <t>mail@23nip-irakl.ira.sch.gr</t>
  </si>
  <si>
    <t>ΛΑΣΑΙΑΣ ΚΑΙ ΑΥΛΩΝΟΣ</t>
  </si>
  <si>
    <t>9ο ΝΗΠΙΑΓΩΓΕΙΟ ΗΡΑΚΛΕΙΟΥ</t>
  </si>
  <si>
    <t>mail@9nip-irakl.ira.sch.gr</t>
  </si>
  <si>
    <t>Ι.ΡΩΜΑΝΙΔΗ 7</t>
  </si>
  <si>
    <t>18ο ΝΗΠΙΑΓΩΓΕΙΟ ΗΡΑΚΛΕΙΟΥ</t>
  </si>
  <si>
    <t>mail@18nip-irakl.ira.sch.gr</t>
  </si>
  <si>
    <t>ΕΚΤΟΡΟΣ 6</t>
  </si>
  <si>
    <t>24ο  ΝΗΠΙΑΓΩΓΕΙΟ ΗΡΑΚΛΕΙΟΥ</t>
  </si>
  <si>
    <t>mail@24nip-irakl.ira.sch.gr</t>
  </si>
  <si>
    <t>ΑΝΤΩΝΙΟΥ ΚΑΣΤΡΙΝΑΚΗ 82</t>
  </si>
  <si>
    <t>57ο ΝΗΠΙΑΓΩΓΕΙΟ ΗΡΑΚΛΕΙΟΥ ΚΡΗΤΗΣ</t>
  </si>
  <si>
    <t>mail@57nip-irakl.ira.sch.gr</t>
  </si>
  <si>
    <t xml:space="preserve">ΜΕΣΑΜΠΕΛΙΕΣ </t>
  </si>
  <si>
    <t>ΠΑΠΑ-ΠΕΤΡΟΥ ΓΑΒΑΛΑ 69 HΡΑΚΛΕΙΟ ΚΡΗΤΗΣ (κεντρικό), ΑΝΘΕΩΝ 33, ΧΟΡΤΑΤΖΗ 3 (παράρτημα)</t>
  </si>
  <si>
    <t>ΝΗΠΙΑΓΩΓΕΙΟ ΚΟΥΝΑΒΩΝ</t>
  </si>
  <si>
    <t>mail@nip-kounav.ira.sch.gr</t>
  </si>
  <si>
    <t>ΚΟΥΝΑΒΟΙ</t>
  </si>
  <si>
    <t>6ο ΝΗΠΙΑΓΩΓΕΙΟ ΗΡΑΚΛΕΙΟΥ</t>
  </si>
  <si>
    <t>mail@6nip-irakl.ira.sch.gr</t>
  </si>
  <si>
    <t>ΚΑΝΤΙΑ ΚΑΙ ΦΙΛΙΚΗΣ ΕΤΑΙΡΕΙΑΣ</t>
  </si>
  <si>
    <t>27ο ΝΗΠΙΑΓΩΓΕΙΟ ΗΡΑΚΛΕΙΟΥ</t>
  </si>
  <si>
    <t>mail@27nip-irakl.ira.sch.gr</t>
  </si>
  <si>
    <t>ΑΣΙΤΩΝ &amp; ΚΟΥΝΑΒΩΝ</t>
  </si>
  <si>
    <t>1ο ΝΗΠΙΑΓΩΓΕΙΟ ΛΙΜΕΝΟΣ ΧΕΡΣΟΝΗΣΟΥ</t>
  </si>
  <si>
    <t>mail@1nip-limen.ira.sch.gr</t>
  </si>
  <si>
    <t>Λ. ΧΕΡΣΟΝΗΣΟΥ</t>
  </si>
  <si>
    <t>ΣΑΝΟΥΔΑΚΗ 15</t>
  </si>
  <si>
    <t>32ο ΝΗΠΙΑΓΩΓΕΙΟ ΗΡΑΚΛΕΙΟΥ</t>
  </si>
  <si>
    <t>mail@32nip-irakl.ira.sch.gr</t>
  </si>
  <si>
    <t>Ηράκλειο Κρήτης</t>
  </si>
  <si>
    <t>Υακίνθου 1</t>
  </si>
  <si>
    <t>2ο ΝΗΠΙΑΓΩΓΕΙΟ ΜΑΛΙΩΝ</t>
  </si>
  <si>
    <t>mail@2nip-malion.ira.sch.gr</t>
  </si>
  <si>
    <t>ΜΑΛΙΩΝ</t>
  </si>
  <si>
    <t>ΜΙΧΕΛΙΔΑΚΗ 1</t>
  </si>
  <si>
    <t>ΝΗΠΙΑΓΩΓΕΙΟ ΜΟΧΟΥ</t>
  </si>
  <si>
    <t>mail@nip-mochou.ira.sch.gr</t>
  </si>
  <si>
    <t>ΜΟΧΟΥ</t>
  </si>
  <si>
    <t>ΜΟΧΟΣ</t>
  </si>
  <si>
    <t>41ο ΝΗΠΙΑΓΩΓΕΙΟ ΗΡΑΚΛΕΙΟΥ</t>
  </si>
  <si>
    <t>mail@41nip-irakl.ira.sch.gr</t>
  </si>
  <si>
    <t>ΠΥΡΑΝΘΟΥ</t>
  </si>
  <si>
    <t>33ο  ΝΗΠΙΑΓΩΓΕΙΟ ΗΡΑΚΛΕΙΟΥ</t>
  </si>
  <si>
    <t>mail@33nip-irakl.ira.sch.gr</t>
  </si>
  <si>
    <t>ΑΛΑΜΑΝΑΣ ΚΑΙ ΙΩΑΝΝΗ ΡΩΜΑΝΙΔΗ</t>
  </si>
  <si>
    <t>2ο ΝΗΠΙΑΓΩΓΕΙΟ ΝΕΑΣ ΑΛΙΚΑΡΝΑΣΣΟΥ</t>
  </si>
  <si>
    <t>mail@2nip-n-alikarn.ira.sch.gr</t>
  </si>
  <si>
    <t>ΝΕΑΣ ΑΛΙΚΑΡΝΑΣΣΟΥ</t>
  </si>
  <si>
    <t>ΜΑΥΣΩΛΟΥ 105</t>
  </si>
  <si>
    <t>3ο ΝΗΠΙΑΓΩΓΕΙΟ ΝΕΑΣ ΑΛΙΚΑΡΝΑΣΣΟΥ</t>
  </si>
  <si>
    <t>mail@3nip-n-alikarn.ira.sch.gr</t>
  </si>
  <si>
    <t>ΕΙΣΟΔΟΣ ΓΗΠΕΔΟΥ ΗΡΟΔΟΤΟΥ</t>
  </si>
  <si>
    <t>42ο ΝΗΠΙΑΓΩΓΕΙΟ ΗΡΑΚΛΕΙΟΥ</t>
  </si>
  <si>
    <t>mail@42nip-irakl.ira.sch.gr</t>
  </si>
  <si>
    <t>ΔΡΥΜΗΤΙΝΟΥ 58</t>
  </si>
  <si>
    <t>4ο ΝΗΠΙΑΓΩΓΕΙΟ ΝΕΑΣ ΑΛΙΚΑΡΝΑΣΣΟΥ</t>
  </si>
  <si>
    <t>mail@4nip-n-alikarn.ira.sch.gr</t>
  </si>
  <si>
    <t>ΝΕΑ ΑΛΙΚΑΡΝΑΣΣΟΣ</t>
  </si>
  <si>
    <t>ΑΓ. ΓΕΩΡΓΙΟΥ 11</t>
  </si>
  <si>
    <t>48ο ΝΗΠΙΑΓΩΓΕΙΟ ΗΡΑΚΛΕΙΟΥ</t>
  </si>
  <si>
    <t>mail@48nip-irakl.ira.sch.gr</t>
  </si>
  <si>
    <t>ΙΕΡΟΛΟΧΙΤΩΝ 42</t>
  </si>
  <si>
    <t>60ο  ΝΗΠΙΑΓΩΓΕΙΟ ΗΡΑΚΛΕΙΟΥ</t>
  </si>
  <si>
    <t>mail@60nip-irakl.ira.sch.gr</t>
  </si>
  <si>
    <t>ΜΥΡΤΙΑΣ 20</t>
  </si>
  <si>
    <t>61ο ΝΗΠΙΑΓΩΓΕΙΟ ΗΡΑΚΛΕΙΟΥ</t>
  </si>
  <si>
    <t>mail@61nip-irakl.ira.sch.gr</t>
  </si>
  <si>
    <t>ΑΛΕΞΑΝΔΡΟΥ ΔΕΛΜΟΥΖΟΥ 9</t>
  </si>
  <si>
    <t>ΝΗΠΙΑΓΩΓΕΙΟ ΑΝΑΛΗΨΗΣ ΧΕΡΣΟΝΗΣΟΥ</t>
  </si>
  <si>
    <t>mail@nip-analips.ira.sch.gr</t>
  </si>
  <si>
    <t>ΑΝΑΛΗΨΗΣ ΧΕΡΣΟΝΗΣΟΥ</t>
  </si>
  <si>
    <t>ΑΝΑΛΗΨΗ ΧΕΡΣΟΝΗΣΟΥ</t>
  </si>
  <si>
    <t>49ο ΔΗΜΟΤΙΚΟ ΣΧΟΛΕΙΟ ΗΡΑΚΛΕΙΟΥ</t>
  </si>
  <si>
    <t>mail@49dim-irakl.ira.sch.gr</t>
  </si>
  <si>
    <t>ΠΥΡΑΝΘΟΥ ΚΑΙ ΑΥΛΩΝΟΣ</t>
  </si>
  <si>
    <t>1ο ΔΗΜΟΤΙΚΟ ΣΧΟΛΕΙΟ ΤΥΜΠΑΚΙΟΥ</t>
  </si>
  <si>
    <t>1dimtym@sch.gr</t>
  </si>
  <si>
    <t>ΦΑΙΣΤΟΥ</t>
  </si>
  <si>
    <t>Τυμπάκι</t>
  </si>
  <si>
    <t>ΤΥΜΠΑΚΙ</t>
  </si>
  <si>
    <t>11ο ΔΗΜΟΤΙΚΟ ΣΧΟΛΕΙΟ ΗΡΑΚΛΕΙΟΥ</t>
  </si>
  <si>
    <t>mail@11dim-irakl.ira.sch.gr</t>
  </si>
  <si>
    <t>ΠΛΑΤΕΙΑ ΜΗΝΑ ΓΕΩΡΓΙΑΔΗ</t>
  </si>
  <si>
    <t>ΔΗΜΟΤΙΚΟ ΣΧΟΛΕΙΟ ΓΟΥΡΝΩΝ</t>
  </si>
  <si>
    <t>mail@dim-gourn.ira.sch.gr</t>
  </si>
  <si>
    <t>ΓΟΥΡΝΕΣ</t>
  </si>
  <si>
    <t>ΓΟΥΡΝΕΣ ΠΕΔΙΑΔΟΣ</t>
  </si>
  <si>
    <t>ΝΗΠΙΑΓΩΓΕΙΟ ΚΑΣΤΕΛΙΟΥ</t>
  </si>
  <si>
    <t>mail@nip-kastel.ira.sch.gr</t>
  </si>
  <si>
    <t>ΜΙΝΩΑ ΠΕΔΙΑΔΑΣ</t>
  </si>
  <si>
    <t>ΚΑΣΤΕΛΙΟΥ</t>
  </si>
  <si>
    <t>ΚΑΣΤΕΛΛΙ ΠΕΔΙΑΔΟΣ</t>
  </si>
  <si>
    <t>2ο ΔΗΜΟΤΙΚΟ ΣΧΟΛΕΙΟ ΜΟΙΡΩΝ</t>
  </si>
  <si>
    <t>mail@2dim-moiron.ira.sch.gr</t>
  </si>
  <si>
    <t>ΜΟΙΡΕΣ</t>
  </si>
  <si>
    <t>ΚΑΛΛΕΡΓΗΔΩΝ, ΜΟΙΡΕΣ</t>
  </si>
  <si>
    <t>ΔΗΜΟΤΙΚΟ ΣΧΟΛΕΙΟ ΚΑΣΤΕΛΛΙΟΥ</t>
  </si>
  <si>
    <t>mail@dim-kastell.ira.sch.gr</t>
  </si>
  <si>
    <t>ΚΑΣΤΕΛΛΙ</t>
  </si>
  <si>
    <t>66ο  ΝΗΠΙΑΓΩΓΕΙΟ ΗΡΑΚΛΕΙΟΥ - ΠΕΙΡΑΜΑΤΙΚΟ</t>
  </si>
  <si>
    <t>mail@66nip-irakl.ira.sch.gr</t>
  </si>
  <si>
    <t>Μιχαήλ Μανασάκη, Κουνάβων &amp; 1869</t>
  </si>
  <si>
    <t>13ο ΝΗΠΙΑΓΩΓΕΙΟ ΗΡΑΚΛΕΙΟΥ</t>
  </si>
  <si>
    <t>mail@13nip-irakl.ira.sch.gr</t>
  </si>
  <si>
    <t>Λ.ΚΝΩΣΣΟΥ &amp; ΖΟΥΡΙΔΗ ΓΩΝΙΑ</t>
  </si>
  <si>
    <t>1ο ΝΗΠΙΑΓΩΓΕΙΟ ΝΕΑΣ ΑΛΙΚΑΡΝΑΣΣΟΥ</t>
  </si>
  <si>
    <t>mail@1nip-n-alikarn.ira.sch.gr</t>
  </si>
  <si>
    <t>Ν. ΑΛΙΚΑΡΝΑΣΣΟΥ</t>
  </si>
  <si>
    <t>ΜΑΥΣΩΛΟΥ 75</t>
  </si>
  <si>
    <t>58ο ΝΗΠΙΑΓΩΓΕΙΟ ΗΡΑΚΛΕΙΟΥ</t>
  </si>
  <si>
    <t>mail@58nip-irakl.ira.sch.gr</t>
  </si>
  <si>
    <t>ΜΑΓΓΑΝΑΡΗΔΩΝ 25</t>
  </si>
  <si>
    <t>ΝΗΠΙΑΓΩΓΕΙΟ ΒΑΣΙΛΕΙΩΝ</t>
  </si>
  <si>
    <t>mail@nip-vasil.ira.sch.gr</t>
  </si>
  <si>
    <t>ΒΑΣΙΛΕΙΩΝ ΗΡΑΚΛΕΙΟΥ</t>
  </si>
  <si>
    <t>Λ.ΕΘΝΙΚΗΣ ΑΝΤΙΣΤΑΣΗΣ 128</t>
  </si>
  <si>
    <t>1ο ΝΗΠΙΑΓΩΓΕΙΟ ΓΑΖΙΟΥ</t>
  </si>
  <si>
    <t>mail@1nip-gaziou.ira.sch.gr</t>
  </si>
  <si>
    <t>ΜΑΛΕΒΙΖΙΟΥ</t>
  </si>
  <si>
    <t>ΓΑΖΙ</t>
  </si>
  <si>
    <t>ΓΡ. ΞΕΝΟΠΟΥΛΟΥ 7</t>
  </si>
  <si>
    <t>2ο ΔΗΜΟΤΙΚΟ ΣΧΟΛΕΙΟ ΗΡΑΚΛΕΙΟΥ - ΜΠΟΔΟΣΑΚΕΙΟ</t>
  </si>
  <si>
    <t>mail@2dim-irakl.ira.sch.gr</t>
  </si>
  <si>
    <t>ΧΙΛΙΑ ΟΚΤΑΚΟΣΙΑ ΕΒΔΟΜΗΝΤΑ ΟΚΤΩ 2</t>
  </si>
  <si>
    <t>29ο  ΝΗΠΙΑΓΩΓΕΙΟ ΗΡΑΚΛΕΙΟΥ</t>
  </si>
  <si>
    <t>mail@29nip-irakl.ira.sch.gr</t>
  </si>
  <si>
    <t>ΓΕΩΡΓΙΟΥ ΜΑΡΑΝΤΗ  ΤΕΡΜΑ</t>
  </si>
  <si>
    <t>ΔΗΜΟΤΙΚΟ ΣΧΟΛΕΙΟ ΚΑΠΑΡΙΑΝΩΝ</t>
  </si>
  <si>
    <t>mail@dim-kapar.ira.sch.gr</t>
  </si>
  <si>
    <t>Μοίρες,</t>
  </si>
  <si>
    <t>ΔΗΜΟΤΙΚΟ ΣΧΟΛΕΙΟ ΕΛΙΑΣ</t>
  </si>
  <si>
    <t>mail@dim-elaias.ira.sch.gr</t>
  </si>
  <si>
    <t>ΕΛΙΑ ΠΕΔΙΑΔΟΣ</t>
  </si>
  <si>
    <t>ΕΛΙΑ</t>
  </si>
  <si>
    <t>49ο ΝΗΠΙΑΓΩΓΕΙΟ ΗΡΑΚΛΕΙΟΥ</t>
  </si>
  <si>
    <t>mail@49nip-irakl.ira.sch.gr</t>
  </si>
  <si>
    <t>ΠΟΝΤΟΥ 10</t>
  </si>
  <si>
    <t>2ο ΝΗΠΙΑΓΩΓΕΙΟ ΑΡΚΑΛΟΧΩΡΙΟΥ</t>
  </si>
  <si>
    <t>mail@2nip-arkal.ira.sch.gr</t>
  </si>
  <si>
    <t>ΑΡΚΑΛΟΧΩΡΙΟΥ</t>
  </si>
  <si>
    <t>ΑΡΚΑΛΟΧΩΡΙ</t>
  </si>
  <si>
    <t>69ο ΝΗΠΙΑΓΩΓΕΙΟ ΗΡΑΚΛΕΙΟΥ</t>
  </si>
  <si>
    <t>mail@69nip-irakl.ira.sch.gr</t>
  </si>
  <si>
    <t>Εμμ. Μανασάκη-1869-Κουνάβων</t>
  </si>
  <si>
    <t>ΝΗΠΙΑΓΩΓΕΙΟ ΚΑΛΕΣΣΩΝ</t>
  </si>
  <si>
    <t>mail@nip-kales.ira.sch.gr</t>
  </si>
  <si>
    <t>ΚΑΛΕΣΣΑ</t>
  </si>
  <si>
    <t>ΔΗΜΟΤΙΚΟ ΣΧΟΛΕΙΟ ΕΠΙΣΚΟΠΗΣ</t>
  </si>
  <si>
    <t>dimepiskira@sch.gr</t>
  </si>
  <si>
    <t>ΕΠΙΣΚΟΠΗ</t>
  </si>
  <si>
    <t>2ο  ΝΗΠΙΑΓΩΓΕΙΟ ΑΓΙΑΣ ΜΑΡΙΝΑΣ</t>
  </si>
  <si>
    <t>mail@2nip-ag-marin.ira.sch.gr</t>
  </si>
  <si>
    <t xml:space="preserve">ΑΓΙΑ ΜΑΡΙΝΑ, ΓΑΖΙ </t>
  </si>
  <si>
    <t>Ελευθερίου Βενιζέλου 96</t>
  </si>
  <si>
    <t>1ο ΝΗΠΙΑΓΩΓΕΙΟ ΑΓΙΑΣ ΜΑΡΙΝΑΣ</t>
  </si>
  <si>
    <t>mail@1nip-ag-marin.ira.sch.gr</t>
  </si>
  <si>
    <t>ΓΩΝΙΑ ΜΗΤΣΟΤΑΚΗ ΚΑΙ ΚΑΝΕΛΛΟΠΟΥΛΟΥ ΑΜΜΟΥΔΑΡΑ</t>
  </si>
  <si>
    <t>46ο ΔΗΜΟΤΙΚΟ ΣΧΟΛΕΙΟ ΗΡΑΚΛΕΙΟΥ</t>
  </si>
  <si>
    <t>46dimirakl@sch.gr</t>
  </si>
  <si>
    <t>ΠΑΠΑΠΕΤΡΟΥ ΓΑΒΑΛΑ 41</t>
  </si>
  <si>
    <t>ΔΗΜΟΤΙΚΟ ΣΧΟΛΕΙΟ ΑΓΙΩΝ ΠΑΡΑΣΚΙΩΝ</t>
  </si>
  <si>
    <t>dimapar@sch.gr</t>
  </si>
  <si>
    <t>ΑΓΙΕΣ ΠΑΡΑΣΚΙΕΣ</t>
  </si>
  <si>
    <t>24ο ΔΗΜΟΤΙΚΟ ΣΧΟΛΕΙΟ ΗΡΑΚΛΕΙΟΥ</t>
  </si>
  <si>
    <t>mail@24dim-irakl.ira.sch.gr</t>
  </si>
  <si>
    <t>ΓΕΡΩΝΥΜΑΚΗ 13</t>
  </si>
  <si>
    <t>31ο ΔΗΜΟΤΙΚΟ ΣΧΟΛΕΙΟ ΗΡΑΚΛΕΙΟΥ</t>
  </si>
  <si>
    <t>mail@31dim-irakl.ira.sch.gr</t>
  </si>
  <si>
    <t>ΗΡΑΚΛΕΙΟ,</t>
  </si>
  <si>
    <t>ΔΗΜΟΤΙΚΟ ΣΧΟΛΕΙΟ ΒΑΣΙΛΕΙΩΝ</t>
  </si>
  <si>
    <t>mail@dim-vasil.ira.sch.gr</t>
  </si>
  <si>
    <t>Βασιλειές</t>
  </si>
  <si>
    <t>Κ. Πατραμάνη 12</t>
  </si>
  <si>
    <t>ΔΗΜΟΤΙΚΟ ΣΧΟΛΕΙΟ ΔΑΦΝΩΝ</t>
  </si>
  <si>
    <t>mail@dim-dafnon.ira.sch.gr</t>
  </si>
  <si>
    <t>ΔΑΦΝΕΣ</t>
  </si>
  <si>
    <t>47ο ΔΗΜΟΤΙΚΟ ΣΧΟΛΕΙΟ ΗΡΑΚΛΕΙΟΥ</t>
  </si>
  <si>
    <t>mail@47dim-irakl.ira.sch.gr</t>
  </si>
  <si>
    <t>ΚΡΑΣΑΔΑΚΗ 19</t>
  </si>
  <si>
    <t>1ο  ΔΗΜΟΤΙΚΟ ΣΧΟΛΕΙΟ ΝΕΑΣ ΑΛΙΚΑΡΝΑΣΣΟΥ</t>
  </si>
  <si>
    <t>mail@1dim-n-alikarn.ira.sch.gr</t>
  </si>
  <si>
    <t>2ο ΔΗΜΟΤΙΚΟ ΣΧΟΛΕΙΟ ΛΙΜΕΝΟΣ ΧΕΡΣΟΝΗΣΟΥ</t>
  </si>
  <si>
    <t>mail@2dim-limen.ira.sch.gr</t>
  </si>
  <si>
    <t>ΛΙΜΕΝΑΣ ΧΕΡΣΟΝΗΣΟΥ</t>
  </si>
  <si>
    <t>ΝΕΑ ΔΙΔΑΚΤΗΡΙΑ</t>
  </si>
  <si>
    <t>5ο ΔΗΜΟΤΙΚΟ ΣΧΟΛΕΙΟ ΗΡΑΚΛΕΙΟΥ</t>
  </si>
  <si>
    <t>mail@5dim-irakl.ira.sch.gr</t>
  </si>
  <si>
    <t>ΔΗΜΟΤΙΚΟ ΣΧΟΛΕΙΟ ΚΑΛΕΣΣΩΝ</t>
  </si>
  <si>
    <t>mail@dim-kales.ira.sch.gr</t>
  </si>
  <si>
    <t>ΚΑΛΕΣΣΑ ΜΑΛΕΒΙΖΙΟΥ</t>
  </si>
  <si>
    <t>41ο ΔΗΜΟΤΙΚΟ ΣΧΟΛΕΙΟ ΗΡΑΚΛΕΙΟΥ</t>
  </si>
  <si>
    <t>mail@41dim-irakl.ira.sch.gr</t>
  </si>
  <si>
    <t>ΜΕΛΕΤΙΟΥ ΠΗΓΑ 63</t>
  </si>
  <si>
    <t>ΔΗΜΟΤΙΚΟ ΣΧΟΛΕΙΟ ΑΓΙΩΝ ΔΕΚΑ</t>
  </si>
  <si>
    <t>mail@dim-ag-deka.ira.sch.gr</t>
  </si>
  <si>
    <t>ΓΟΡΤΥΝΑΣ</t>
  </si>
  <si>
    <t>Άγιοι Δέκα</t>
  </si>
  <si>
    <t>21ο ΔΗΜΟΤΙΚΟ ΣΧΟΛΕΙΟ ΗΡΑΚΛΕΙΟΥ</t>
  </si>
  <si>
    <t>mail@21dim-irakl.ira.sch.gr</t>
  </si>
  <si>
    <t>ΣΟΛΩΝΟΣ 102</t>
  </si>
  <si>
    <t>8ο  ΠΕΙΡΑΜΑΤΙΚΟ ΔΗΜΟΤΙΚΟ  ΣΧΟΛΕΙΟ  ΗΡΑΚΛΕΙΟΥ</t>
  </si>
  <si>
    <t>mail@8dim-irakl.ira.sch.gr</t>
  </si>
  <si>
    <t>ΤΑΞΙΑΡΧΟΥ ΜΑΡΚΟΠΟΥΛΟΥ 7</t>
  </si>
  <si>
    <t>ΔΗΜΟΤΙΚΟ ΣΧΟΛΕΙΟ ΚΑΤΩ ΑΣΙΤΩΝ</t>
  </si>
  <si>
    <t>mail@dim-kat-asiton.ira.sch.gr</t>
  </si>
  <si>
    <t xml:space="preserve">Κάτω Ασίτες , </t>
  </si>
  <si>
    <t>Κάτω Ασίτες ,</t>
  </si>
  <si>
    <t>5ο  ΔΗΜΟΤΙΚΟ ΣΧΟΛΕΙΟ ΝΕΑΣ ΑΛΙΚΑΡΝΑΣΣΟΥ</t>
  </si>
  <si>
    <t>mail@5dim-n-alikarn.ira.sch.gr</t>
  </si>
  <si>
    <t>Νέα Αλικαρνασσός</t>
  </si>
  <si>
    <t>20ο ΝΗΠΙΑΓΩΓΕΙΟ ΗΡΑΚΛΕΙΟΥ</t>
  </si>
  <si>
    <t>mail@20nip-irakl.ira.sch.gr</t>
  </si>
  <si>
    <t>ΛΕΒΗΝΟΥ 7 ΚΑΙ 13</t>
  </si>
  <si>
    <t>2ο ΔΗΜΟΤΙΚΟ ΣΧΟΛΕΙΟ ΜΑΛΙΩΝ</t>
  </si>
  <si>
    <t>mail@2dim-malion.ira.sch.gr</t>
  </si>
  <si>
    <t>ΜΑΛΙΑ ΗΡΑΚΛΕΙΟΥ</t>
  </si>
  <si>
    <t>ΙΛΑΡΙΩΝΟΣ ΚΑΤΣΟΥΛΗ 29</t>
  </si>
  <si>
    <t>17ο ΔΗΜΟΤΙΚΟ ΣΧΟΛΕΙΟ ΗΡΑΚΛΕΙΟΥ</t>
  </si>
  <si>
    <t>mail@17dim-irakl.ira.sch.gr</t>
  </si>
  <si>
    <t>Λ. ΚΝΩΣΟΥ 1</t>
  </si>
  <si>
    <t>14ο ΝΗΠΙΑΓΩΓΕΙΟ ΗΡΑΚΛΕΙΟΥ</t>
  </si>
  <si>
    <t>mail@14nip-irakl.ira.sch.gr</t>
  </si>
  <si>
    <t>Λ. ΚΝΩΣΣΟΥ 126</t>
  </si>
  <si>
    <t>19ο ΝΗΠΙΑΓΩΓΕΙΟ ΗΡΑΚΛΕΙΟΥ</t>
  </si>
  <si>
    <t>mail@19nip-irakl.ira.sch.gr</t>
  </si>
  <si>
    <t>2ο ΝΗΠΙΑΓΩΓΕΙΟ ΜΟΙΡΩΝ ΗΡΑΚΛΕΙΟΥ</t>
  </si>
  <si>
    <t>mail@2nip-moiron.ira.sch.gr</t>
  </si>
  <si>
    <t>ΜΟΙΡΕΣ ΗΡΑΚΛΕΙΟΥ</t>
  </si>
  <si>
    <t>ΦΡ. ΜΑΣΤΡΑΧΑ-ΘΕΡΙΣΟΥ</t>
  </si>
  <si>
    <t>ΔΗΜΟΤΙΚΟ ΣΧΟΛΕΙΟ ΡΟΔΙΑΣ ΜΑΛΕΒΙΖΙΟΥ</t>
  </si>
  <si>
    <t>mail@dim-rodias.ira.sch.gr</t>
  </si>
  <si>
    <t>ΡΟΔΙΑ</t>
  </si>
  <si>
    <t>ΡΟΔΙΑ ΜΑΛΕΒΙΖΙΟΥ</t>
  </si>
  <si>
    <t>ΔΗΜΟΤΙΚΟ ΣΧΟΛΕΙΟ ΜΕΓΑΛΗΣ ΒΡΥΣΗΣ ΓΟΡΤΥΝΑΣ</t>
  </si>
  <si>
    <t>mail@dim-meg-vrysis.ira.sch.gr</t>
  </si>
  <si>
    <t>6ο ΔΗΜΟΤΙΚΟ ΣΧΟΛΕΙΟ ΗΡΑΚΛΕΙΟΥ</t>
  </si>
  <si>
    <t>mail@6dim-irakl.ira.sch.gr</t>
  </si>
  <si>
    <t>ΑΓΙΟΥ ΤΙΤΟΥ 3</t>
  </si>
  <si>
    <t>23ο ΔΗΜΟΤΙΚΟ ΣΧΟΛΕΙΟ ΗΡΑΚΛΕΙΟΥ</t>
  </si>
  <si>
    <t>mail@23dim-irakl.ira.sch.gr</t>
  </si>
  <si>
    <t>ΜΟΥΣΩΝ 71</t>
  </si>
  <si>
    <t>30ο ΝΗΠΙΑΓΩΓΕΙΟ ΗΡΑΚΛΕΙΟΥ</t>
  </si>
  <si>
    <t>mail@30nip-irakl.ira.sch.gr</t>
  </si>
  <si>
    <t>ΛΕΥΚΩΣΙΑΣ 40</t>
  </si>
  <si>
    <t>47ο  ΝΗΠΙΑΓΩΓΕΙΟ ΗΡΑΚΛΕΙΟΥ</t>
  </si>
  <si>
    <t>mail@47nip-irakl.ira.sch.gr</t>
  </si>
  <si>
    <t>1ο ΝΗΠΙΑΓΩΓΕΙΟ ΚΡΟΥΣΩΝΑ</t>
  </si>
  <si>
    <t>mail@1nip-krous.ira.sch.gr</t>
  </si>
  <si>
    <t>ΚΡΟΥΣΩΝΑ</t>
  </si>
  <si>
    <t>ΚΡΟΥΣΩΝΑΣ</t>
  </si>
  <si>
    <t>1ο  ΔΗΜΟΤΙΚΟ ΣΧΟΛΕΙΟ ΑΓΙΑΣ ΜΑΡΙΝΑΣ</t>
  </si>
  <si>
    <t>mail@dim-ag-marin.ira.sch.gr</t>
  </si>
  <si>
    <t>ΤΕΜΠΟΝΕΡΑ ΑΓ. ΜΑΡΙΝΑ</t>
  </si>
  <si>
    <t>26ο ΔΗΜΟΤΙΚΟ ΣΧΟΛΕΙΟ ΗΡΑΚΛΕΙΟΥ</t>
  </si>
  <si>
    <t>mail@26dim-irakl.ira.sch.gr</t>
  </si>
  <si>
    <t>ΓΕΩΡΓΙΟΥ ΜΑΡΑΝΤΗ 3</t>
  </si>
  <si>
    <t>2ο ΔΗΜΟΤΙΚΟ ΣΧΟΛΕΙΟ ΚΡΟΥΣΩΝΑ</t>
  </si>
  <si>
    <t>mail@2dim-krouss.ira.sch.gr</t>
  </si>
  <si>
    <t>ΔΗΜΟΤΙΚΟ ΣΧΟΛΕΙΟ ΧΕΡΣΟΝΗΣΟΥ</t>
  </si>
  <si>
    <t>mail@dim-chers.ira.sch.gr</t>
  </si>
  <si>
    <t>ΧΕΡΣΟΝΗΣΟΣ</t>
  </si>
  <si>
    <t>Οδός Ειρήνης</t>
  </si>
  <si>
    <t>63ο ΝΗΠΙΑΓΩΓΕΙΟ ΗΡΑΚΛΕΙΟΥ</t>
  </si>
  <si>
    <t>mail@63nip-irakl.ira.sch.gr</t>
  </si>
  <si>
    <t>Παλαιά ΚΑΤΕΕ</t>
  </si>
  <si>
    <t>ΓΑΛΗΝΟΥ 61</t>
  </si>
  <si>
    <t>1ο  ΝΗΠΙΑΓΩΓΕΙΟ ΑΓΙΑΣ ΒΑΡΒΑΡΑΣ</t>
  </si>
  <si>
    <t>mail@1nip-ag-varvar.ira.sch.gr</t>
  </si>
  <si>
    <t>4ο  ΔΗΜΟΤΙΚΟ ΣΧΟΛΕΙΟ ΝΕΑΣ ΑΛΙΚΑΡΝΑΣΣΟΥ</t>
  </si>
  <si>
    <t>mail@4dim-n-alikarn.ira.sch.gr</t>
  </si>
  <si>
    <t>Κεράμου 93 Γήπεδο Ηροδότου</t>
  </si>
  <si>
    <t>2ο  ΔΗΜΟΤΙΚΟ ΣΧΟΛΕΙΟ ΝΕΑΣ ΑΛΙΚΑΡΝΑΣΣΟΥ</t>
  </si>
  <si>
    <t>mail@2dim-n-alikarn.ira.sch.gr</t>
  </si>
  <si>
    <t>ΔΗΜΟΤΙΚΟ ΣΧΟΛΕΙΟ ΑΝΩ ΒΙΑΝΝΟΥ</t>
  </si>
  <si>
    <t>mail@dim-an-viann.ira.sch.gr</t>
  </si>
  <si>
    <t>ΒΙΑΝΝΟΥ</t>
  </si>
  <si>
    <t>ΑΝΩ ΒΙΑΝΝΟΣ</t>
  </si>
  <si>
    <t>16ο  ΔΗΜΟΤΙΚΟ ΣΧΟΛΕΙΟ ΗΡΑΚΛΕΙΟΥ</t>
  </si>
  <si>
    <t>mail@16dim-irakl.ira.sch.gr</t>
  </si>
  <si>
    <t>ΠΛΟΥΤΩΝΟΣ 30</t>
  </si>
  <si>
    <t>9ο ΔΗΜΟΤΙΚΟ ΣΧΟΛΕΙΟ ΗΡΑΚΛΕΙΟΥ</t>
  </si>
  <si>
    <t>mail@9dim-irakl.ira.sch.gr</t>
  </si>
  <si>
    <t>ΑΝΤ. ΜΠΕΤΕΙΝΑΚΗ 5</t>
  </si>
  <si>
    <t>52ο ΔΗΜΟΤΙΚΟ ΣΧΟΛΕΙΟ ΗΡΑΚΛΕΙΟΥ</t>
  </si>
  <si>
    <t>mail@52dim-irakl.ira.sch.gr</t>
  </si>
  <si>
    <t>28ο ΔΗΜΟΤΙΚΟ ΣΧΟΛΕΙΟ ΗΡΑΚΛΕΙΟΥ</t>
  </si>
  <si>
    <t>mail@28dim-irakl.ira.sch.gr</t>
  </si>
  <si>
    <t>ΠΑΠΑΓΙΑΝΝΗ ΣΚΟΥΛΑ 10</t>
  </si>
  <si>
    <t>35ο ΔΗΜΟΤΙΚΟ ΣΧΟΛΕΙΟ ΗΡΑΚΛΕΙΟΥ</t>
  </si>
  <si>
    <t>mail@35dim-irakl.ira.sch.gr</t>
  </si>
  <si>
    <t>ΔΑΜΑΣΚΗΝΟΥ 20</t>
  </si>
  <si>
    <t>ΔΗΜΟΤΙΚΟ ΣΧΟΛΕΙΟ ΤΥΛΙΣΟΥ</t>
  </si>
  <si>
    <t>mail@dim-tylis.ira.sch.gr</t>
  </si>
  <si>
    <t>Τύλισος</t>
  </si>
  <si>
    <t>40ο  ΔΗΜΟΤΙΚΟ ΣΧΟΛΕΙΟ ΗΡΑΚΛΕΙΟΥ</t>
  </si>
  <si>
    <t>mail@40dim-irakl.ira.sch.gr</t>
  </si>
  <si>
    <t>Γ. ΜΑΡΑΝΤΗ (ΤΕΡΜΑ)</t>
  </si>
  <si>
    <t>ΔΗΜΟΤΙΚΟ ΣΧΟΛΕΙΟ ΒΕΝΕΡΑΤΟΥ</t>
  </si>
  <si>
    <t>mail@dim-vener.ira.sch.gr</t>
  </si>
  <si>
    <t>ΒΕΝΕΡΑΤΟ</t>
  </si>
  <si>
    <t>ΤΖΑΓΚΑΡΑΝΤΩΝΗ 99</t>
  </si>
  <si>
    <t>1ο  ΔΗΜΟΤΙΚΟ ΣΧΟΛΕΙΟ ΑΡΚΑΛΟΧΩΡΙΟΥ</t>
  </si>
  <si>
    <t>mail@1dim-arkal.ira.sch.gr</t>
  </si>
  <si>
    <t>ΙΩΑΝΝΟΥ ΚΟΝΔΥΛΑΚΗ</t>
  </si>
  <si>
    <t>ΔΗΜΟΤΙΚΟ ΣΧΟΛΕΙΟ ΜΟΧΟΥ</t>
  </si>
  <si>
    <t>mail@dim-mochou.ira.sch.gr</t>
  </si>
  <si>
    <t>ΜΟΧΟΣ ΔΗΜΟΥ ΧΕΡΣΟΝΗΣΟΥ</t>
  </si>
  <si>
    <t>3ο ΔΗΜΟΤΙΚΟ ΣΧΟΛΕΙΟ ΝΕΑΣ ΑΛΙΚΑΡΝΑΣΣΟΥ</t>
  </si>
  <si>
    <t>mail@3dim-n-alikarn.ira.sch.gr</t>
  </si>
  <si>
    <t>ΑΓΙΟΥ ΓΕΩΡΓΙΟΥ 11</t>
  </si>
  <si>
    <t>32ο ΔΗΜΟΤΙΚΟ ΣΧΟΛΕΙΟ ΗΡΑΚΛΕΙΟΥ</t>
  </si>
  <si>
    <t>mail@32dim-irakl.ira.sch.gr</t>
  </si>
  <si>
    <t>ΝΙΚΗΦΟΡΟΥ ΛΥΤΡΑ 2</t>
  </si>
  <si>
    <t>2ο  ΔΗΜΟΤΙΚΟ ΣΧΟΛΕΙΟ ΑΡΚΑΛΟΧΩΡΙΟΥ</t>
  </si>
  <si>
    <t>2dimarkira@sch.gr</t>
  </si>
  <si>
    <t>ΔΙΚΑΙΟΣΥΝΗΣ 1,  ΑΡΚΑΛΟΧΩΡΙ</t>
  </si>
  <si>
    <t>ΔΗΜΟΤΙΚΟ ΣΧΟΛΕΙΟ ΑΓΙΑΣ  ΒΑΡΒΑΡΑΣ</t>
  </si>
  <si>
    <t>mail@dim-ag-varvar.ira.sch.gr</t>
  </si>
  <si>
    <t>16ο ΝΗΠΙΑΓΩΓΕΙΟ ΗΡΑΚΛΕΙΟΥ</t>
  </si>
  <si>
    <t>mail@16nip-irakl.ira.sch.gr</t>
  </si>
  <si>
    <t>ΚΝΩΣΣΟΥ 1</t>
  </si>
  <si>
    <t>ΝΗΠΙΑΓΩΓΕΙΟ ΠΥΡΓΟΥ ΑΡΧΑΝΩΝ- ΑΣΤΕΡΟΥΣΙΩΝ</t>
  </si>
  <si>
    <t>mail@nip-pyrgou.ira.sch.gr</t>
  </si>
  <si>
    <t>1ο  ΔΗΜΟΤΙΚΟ ΣΧΟΛΕΙΟ ΗΡΑΚΛΕΙΟΥ</t>
  </si>
  <si>
    <t>mail@1dim-irakl.ira.sch.gr</t>
  </si>
  <si>
    <t>ΚΑΛΟΚΑΙΡΙΝΟΥ 197</t>
  </si>
  <si>
    <t>7ο ΔΗΜΟΤΙΚΟ ΣΧΟΛΕΙΟ ΗΡΑΚΛΕΙΟΥ - ΕΛΛΗ ΑΛΕΞΙΟΥ</t>
  </si>
  <si>
    <t>mail@7dim-irakl.ira.sch.gr</t>
  </si>
  <si>
    <t>ΚΝΩΣΟΥ 1</t>
  </si>
  <si>
    <t>25ο ΔΗΜΟΤΙΚΟ ΣΧΟΛΕΙΟ ΗΡΑΚΛΕΙΟΥ</t>
  </si>
  <si>
    <t>mail@25dim-irakl.ira.sch.gr</t>
  </si>
  <si>
    <t>ΔΙΟΝΥΣΙΟΥ ΦΡΑΓΚΙΑΔΑΚΗ 13</t>
  </si>
  <si>
    <t>ΔΗΜΟΤΙΚΟ ΣΧΟΛΕΙΟ ΓΟΥΒΩΝ ΧΕΡΣΟΝΗΣΟΥ</t>
  </si>
  <si>
    <t>mail@dim-gouvon.ira.sch.gr</t>
  </si>
  <si>
    <t>ΓΟΥΒΕΣ ΠΕΔΙΑΔΟΣ ΗΡΑΚΛΕΙΟΥ ΚΡΗΤΗΣ</t>
  </si>
  <si>
    <t>ΓΟΥΒΕΣ</t>
  </si>
  <si>
    <t>1ο ΔΗΜΟΤΙΚΟ ΣΧΟΛΕΙΟ ΛΙΜΕΝΑ ΧΕΡΣΟΝΗΣΟΥ</t>
  </si>
  <si>
    <t>mail@dim-limen.ira.sch.gr</t>
  </si>
  <si>
    <t>ΝΕΑ ΔΙΔΑΚΤΗΡΙΑ ΛΙΜΕΝΑ ΧΕΡΣΟΝΗΣΟΥ</t>
  </si>
  <si>
    <t>2ο ΝΗΠΙΑΓΩΓΕΙΟ ΤΥΜΠΑΚΙΟΥ</t>
  </si>
  <si>
    <t>mail@2nip-tympak.ira.sch.gr</t>
  </si>
  <si>
    <t>1ο ΔΗΜΟΤΙΚΟ ΣΧΟΛΕΙΟ ΜΑΛΙΩΝ</t>
  </si>
  <si>
    <t>mail@dim-malion.ira.sch.gr</t>
  </si>
  <si>
    <t>ΜΑΛΙΑ</t>
  </si>
  <si>
    <t>3ο ΝΗΠΙΑΓΩΓΕΙΟ ΤΥΜΠΑΚΙΟΥ</t>
  </si>
  <si>
    <t>mail@3nip-tympak.ira.sch.gr</t>
  </si>
  <si>
    <t>ΤΥΜΠΑΚΙΟΥ</t>
  </si>
  <si>
    <t>ΑΓΙΟΥ  ΝΕΚΤΑΡΙΟΥ</t>
  </si>
  <si>
    <t>53ο ΔΗΜΟΤΙΚΟ ΣΧΟΛΕΙΟ ΗΡΑΚΛΕΙΟΥ</t>
  </si>
  <si>
    <t>mail@53dim-irakl.ira.sch.gr</t>
  </si>
  <si>
    <t>ΑΝΔΡΕΑ ΠΑΠΑΝΔΡΕΟΥ 8</t>
  </si>
  <si>
    <t>ΔΗΜΟΤΙΚΟ ΣΧΟΛΕΙΟ ΘΡΑΨΑΝΟΥ</t>
  </si>
  <si>
    <t>mail@dim-thraps.ira.sch.gr</t>
  </si>
  <si>
    <t>Θραψανό</t>
  </si>
  <si>
    <t>ΘΡΑΨΑΝΟ ΠΕΔΙΑΔΟΣ</t>
  </si>
  <si>
    <t>1ο ΔΗΜΟΤΙΚΟ ΣΧΟΛΕΙΟ ΑΡΧΑΝΩΝ</t>
  </si>
  <si>
    <t>mail@1dim-an-archan.ira.sch.gr</t>
  </si>
  <si>
    <t>Αρχάνες</t>
  </si>
  <si>
    <t>ΝΙΚ. ΨΑΛΤΑΚΗ 21</t>
  </si>
  <si>
    <t>ΝΗΠΙΑΓΩΓΕΙΟ ΑΓΙΩΝ ΔΕΚΑ</t>
  </si>
  <si>
    <t>mail@nip-ag-deka.ira.sch.gr</t>
  </si>
  <si>
    <t>ΑΓΙΩΝ ΔΕΚΑ</t>
  </si>
  <si>
    <t>ΑΓΙΟΙ ΔΕΚΑ</t>
  </si>
  <si>
    <t>33ο ΔΗΜΟΤΙΚΟ ΣΧΟΛΕΙΟ ΗΡΑΚΛΕΙΟΥ</t>
  </si>
  <si>
    <t>mail@33dim-irakl.ira.sch.gr</t>
  </si>
  <si>
    <t>ΠΛΑΤΕΙΑ ΔΕΙΛΙΝΩΝ</t>
  </si>
  <si>
    <t>2ο ΔΗΜΟΤΙΚΟ ΣΧΟΛΕΙΟ ΑΝΩ ΑΡΧΑΝΩΝ</t>
  </si>
  <si>
    <t>mail@2dim-an-acharn.ira.sch.gr</t>
  </si>
  <si>
    <t>ΒΑΘΥΠΕΤΡΟΥ 24 ΑΝΩ ΑΡΧΑΝΕΣ</t>
  </si>
  <si>
    <t>45ο ΔΗΜΟΤΙΚΟ ΣΧΟΛΕΙΟ ΗΡΑΚΛΕΙΟ</t>
  </si>
  <si>
    <t>mail@45dim-irakl.ira.sch.gr</t>
  </si>
  <si>
    <t>ΖΕΥΞΙΔΟΣ -  ΤΡΕΙΣ  ΒΑΓΙΕΣ</t>
  </si>
  <si>
    <t>13ο  ΔΗΜΟΤΙΚΟ  ΣΧΟΛΕΙΟ  ΗΡΑΚΛΕΙΟΥ</t>
  </si>
  <si>
    <t>13dimirakl@sch.gr</t>
  </si>
  <si>
    <t>ΚΑΝΑΡΗ 40</t>
  </si>
  <si>
    <t>1ο ΔΗΜΟΤΙΚΟ ΣΧΟΛΕΙΟ ΓΑΖΙΟΥ</t>
  </si>
  <si>
    <t>mail@1dim-gaziou.ira.sch.gr</t>
  </si>
  <si>
    <t>ΕΛΕΥΘΕΡΙΑΣ 49</t>
  </si>
  <si>
    <t>14ο ΔΗΜΟΤΙΚΟ ΣΧΟΛΕΙΟ ΗΡΑΚΛΕΙΟΥ</t>
  </si>
  <si>
    <t>mail@14dim-irakl.ira.sch.gr</t>
  </si>
  <si>
    <t>ΣΤΕΡΓΙΟΥ ΣΠΑΝΑΚΗ 5</t>
  </si>
  <si>
    <t>ΝΗΠΙΑΓΩΓΕΙΟ ΚΑΠΑΡΙΑΝΩΝ</t>
  </si>
  <si>
    <t>mail@nip-kapar.ira.sch.gr</t>
  </si>
  <si>
    <t>2ο ΔΗΜΟΤΙΚΟ ΣΧΟΛΕΙΟ ΤΥΜΠΑΚΙΟΥ</t>
  </si>
  <si>
    <t>mail@2dim-tympak.ira.sch.gr</t>
  </si>
  <si>
    <t>Τυμπάκι,</t>
  </si>
  <si>
    <t>42ο  ΔΗΜΟΤΙΚΟ ΗΡΑΚΛΕΙΟΥ</t>
  </si>
  <si>
    <t>mail@42dim-irakl.ira.sch.gr</t>
  </si>
  <si>
    <t>ΔΗΜΟΤΙΚΟ ΣΧΟΛΕΙΟ ΚΟΥΝΑΒΩΝ</t>
  </si>
  <si>
    <t>mail@dim-kounav.ira.sch.gr</t>
  </si>
  <si>
    <t>Κουνάβοι</t>
  </si>
  <si>
    <t>1ο ΝΗΠΙΑΓΩΓΕΙΟ ΑΡΚΑΛΟΧΩΡΙΟΥ</t>
  </si>
  <si>
    <t>mail@1nip-arkal.ira.sch.gr</t>
  </si>
  <si>
    <t>37ο ΔΗΜΟΤΙΚΟ ΣΧΟΛΕΙΟ ΗΡΑΚΛΕΙΟΥ</t>
  </si>
  <si>
    <t>mail@37dim-irakl.ira.sch.gr</t>
  </si>
  <si>
    <t>ΜΥΡΤΙΑΣ 22</t>
  </si>
  <si>
    <t>19ο  Δημοτικό Σχολείο Ηρακλείου</t>
  </si>
  <si>
    <t>mail@19dim-irakl.ira.sch.gr</t>
  </si>
  <si>
    <t>Λ. ΚΝΩΣΣΟΥ 236</t>
  </si>
  <si>
    <t>ΔΗΜΟΤΙΚΟ ΣΧΟΛΕΙΟ ΖΑΡΟΥ</t>
  </si>
  <si>
    <t>mail@dim-zarou.ira.sch.gr</t>
  </si>
  <si>
    <t>Ζαρός,</t>
  </si>
  <si>
    <t>ΖΑΡΟΣ</t>
  </si>
  <si>
    <t>1ο ΝΗΠΙΑΓΩΓΕΙΟ ΜΟΙΡΩΝ</t>
  </si>
  <si>
    <t>mail@1nip-moiron.ira.sch.gr</t>
  </si>
  <si>
    <t>ΜΟΙΡΩΝ</t>
  </si>
  <si>
    <t>ΘΕΡΙΣΟΥ  23</t>
  </si>
  <si>
    <t>27ο ΔΗΜΟΤΙΚΟ ΣΧΟΛΕΙΟ ΗΡΑΚΛΕΙΟΥ</t>
  </si>
  <si>
    <t>mail@27dim-irakl.ira.sch.gr</t>
  </si>
  <si>
    <t>15ο ΔΗΜΟΤΙΚΟ ΣΧΟΛΕΙΟ ΗΡΑΚΛΕΙΟΥ</t>
  </si>
  <si>
    <t>mail@15dim-irakl.ira.sch.gr</t>
  </si>
  <si>
    <t>ΕΜΜ. ΠΑΠΑ 9</t>
  </si>
  <si>
    <t>3ο ΝΗΠΙΑΓΩΓΕΙΟ ΑΡΚΑΛΟΧΩΡΙΟΥ</t>
  </si>
  <si>
    <t>3niparkalira@sch.gr</t>
  </si>
  <si>
    <t>44ο ΔΗΜΟΤΙΚΟ ΣΧΟΛΕΙΟ ΗΡΑΚΛΕΙΟΥ</t>
  </si>
  <si>
    <t>mail@44dim-irakl.ira.sch.gr</t>
  </si>
  <si>
    <t>ΔΗΜΟΤΙΚΟ ΣΧΟΛΕΙΟ ΚΟΚΚΙΝΗ ΧΑΝΙ</t>
  </si>
  <si>
    <t>mail@dim-kokkin.ira.sch.gr</t>
  </si>
  <si>
    <t>ΚΟΚΚΙΝΗ ΧΑΝΙ</t>
  </si>
  <si>
    <t>4ο  ΔΗΜΟΤΙΚΟ ΣΧΟΛΕΙΟ ΗΡΑΚΛΕΙΟΥ</t>
  </si>
  <si>
    <t>mail@4dim-irakl.ira.sch.gr</t>
  </si>
  <si>
    <t>ΜΑΧΗΣ ΚΡΗΤΗΣ ΚΑΙ ΥΑΚΙΝΘΟΥ</t>
  </si>
  <si>
    <t>ΔΗΜΟΤΙΚΟ ΣΧΟΛΕΙΟ ΑΣΗΜΙΟΥ</t>
  </si>
  <si>
    <t>mail@dim-asimiou.ira.sch.gr</t>
  </si>
  <si>
    <t>Ασήμι</t>
  </si>
  <si>
    <t>ΑΣΗΜΙ</t>
  </si>
  <si>
    <t>50ο ΔΗΜΟΤΙΚΟ ΣΧΟΛΕΙΟ ΗΡΑΚΛΕΙΟΥ</t>
  </si>
  <si>
    <t>mail@50dim-irakl.ira.sch.gr</t>
  </si>
  <si>
    <t>18ο ΔΗΜΟΤΙΚΟ ΣΧΟΛΕΙΟ ΗΡΑΚΛΕΙΟΥ</t>
  </si>
  <si>
    <t>mail@18dim-irakl.ira.sch.gr</t>
  </si>
  <si>
    <t>ΗΡΑΚΛΕΙO</t>
  </si>
  <si>
    <t>ΕΡΥΘΡΑΙΑΣ 42</t>
  </si>
  <si>
    <t>1ο  ΔΗΜΟΤΙΚΟ ΣΧΟΛΕΙΟ ΜΟΙΡΩΝ</t>
  </si>
  <si>
    <t>mail@1dim-moiron.ira.sch.gr</t>
  </si>
  <si>
    <t>ΤΕΡΜΑ ΚΟΡΑΗ</t>
  </si>
  <si>
    <t>ΔΗΜΟΤΙΚΟ ΣΧΟΛΕΙΟ ΒΑΓΙΟΝΙΑΣ</t>
  </si>
  <si>
    <t>mail@dim-vagion.ira.sch.gr</t>
  </si>
  <si>
    <t>ΒΑΓΙΟΝΙΑ</t>
  </si>
  <si>
    <t>54ο  ΔΗΜΟΤΙΚΟ ΣΧΟΛΕΙΟ ΗΡΑΚΛΕΙΟΥ</t>
  </si>
  <si>
    <t>mail@54dim-irakl.ira.sch.gr</t>
  </si>
  <si>
    <t>30ο ΔΗΜΟΤΙΚΟ ΣΧΟΛΕΙΟ ΗΡΑΚΛΕΙΟΥ</t>
  </si>
  <si>
    <t>mail@30dim-irakl.ira.sch.gr</t>
  </si>
  <si>
    <t>ΝΕΟ-ΣΤΑΔΙΟ ΗΡΑΚΛΕΙΟΥ</t>
  </si>
  <si>
    <t>ΠΥΡΑΝΘΟΥ 44</t>
  </si>
  <si>
    <t>3ο ΔΗΜΟΤΙΚΟ ΣΧΟΛΕΙΟ ΤΥΜΠΑΚΙΟΥ</t>
  </si>
  <si>
    <t>3dimtym@sch.gr</t>
  </si>
  <si>
    <t>ΑΓ.ΝΕΚΤΑΡΙΟΥ</t>
  </si>
  <si>
    <t>10ο ΔΗΜΟΤΙΚΟ ΣΧΟΛΕΙΟ ΗΡΑΚΛΕΙΟΥ ΚΡΗΤΗΣ</t>
  </si>
  <si>
    <t>mail@10dim-irakl.ira.sch.gr</t>
  </si>
  <si>
    <t>ΙΣΟΚΡΑΤΟΥΣ 2</t>
  </si>
  <si>
    <t>ΔΗΜΟΤΙΚΟ ΣΧΟΛΕΙΟ ΠΟΜΠΙΑΣ</t>
  </si>
  <si>
    <t>mail@dim-pompias.ira.sch.gr</t>
  </si>
  <si>
    <t>Πόμπια</t>
  </si>
  <si>
    <t>36ο ΔΗΜΟΤΙΚΟ ΣΧΟΛΕΙΟ ΗΡΑΚΛΕΙΟΥ "ΤΟ ΣΧΟΛΕΙΟ ΤΗΣ ΜΕΛΙΝΑΣ"</t>
  </si>
  <si>
    <t>mail@36dim-irakl.ira.sch.gr</t>
  </si>
  <si>
    <t>ΓΙΑΚΟΥΜΑΚΗ 41</t>
  </si>
  <si>
    <t>2ο ΔΗΜΟΤΙΚΟ ΣΧΟΛΕΙΟ ΒΟΥΤΩΝ</t>
  </si>
  <si>
    <t>mail@2dim-vouton.ira.sch.gr</t>
  </si>
  <si>
    <t>ΒΟΥΤΕΣ</t>
  </si>
  <si>
    <t>Λ. ΠΑΝΕΠΙΣΤΗΜΙΟΥ 70</t>
  </si>
  <si>
    <t>12ο ΝΗΠΙΑΓΩΓΕΙΟ ΗΡΑΚΛΕΙΟΥ</t>
  </si>
  <si>
    <t>mail@12nip-irakl.ira.sch.gr</t>
  </si>
  <si>
    <t>ΝΑΥΑΡΙΝΟΥ-ΦΟΡΤΕΤΣΑ 45</t>
  </si>
  <si>
    <t>34ο  ΔΗΜΟΤΙΚΟ ΣΧΟΛΕΙΟ ΗΡΑΚΛΕΙΟΥ</t>
  </si>
  <si>
    <t>mail@34dim-irakl.ira.sch.gr</t>
  </si>
  <si>
    <t>70ο ΝΗΠΙΑΓΩΓΕΙΟ ΗΡΑΚΛΕΙΟΥ</t>
  </si>
  <si>
    <t>mail@70nip-irakl.ira.sch.gr</t>
  </si>
  <si>
    <t>NIKOΛΑΟΥ ΚΑΜΠΙΤΑΚΗ 21</t>
  </si>
  <si>
    <t>20ο ΔΗΜΟΤΙΚΟ ΣΧΟΛΕΙΟ ΗΡΑΚΛΕΙΟΥ</t>
  </si>
  <si>
    <t>mail@20dim-irakl.ira.sch.gr</t>
  </si>
  <si>
    <t>ΠΕΖΟΔΡΟΜΟΣ  ΟΡΦΕΩΣ 3</t>
  </si>
  <si>
    <t>ΔΗΜΟΤΙΚΟ ΣΧΟΛΕΙΟ ΓΕΡΓΕΡΗΣ</t>
  </si>
  <si>
    <t>mail@dim-gerger.ira.sch.gr</t>
  </si>
  <si>
    <t>ΓΕΡΓΕΡΗ</t>
  </si>
  <si>
    <t>ΜΙΧ. ΜΑΝΑΣΑΚΗ 7</t>
  </si>
  <si>
    <t>ΔΗΜΟΤΙΚΟ ΣΧΟΛΕΙΟ ΚΑΛΥΒΙΩΝ ΠΥΡΓΙΩΤΙΣΣΗΣ</t>
  </si>
  <si>
    <t>mail@dim-pyrgiot.ira.sch.gr</t>
  </si>
  <si>
    <t>ΚΑΛΥΒΙΑ ΠΥΡΓΙΩΤΙΣΣΗΣ</t>
  </si>
  <si>
    <t>ΠΑΝΑΓΙΑ ΚΑΛΥΒΙΑΝΗ</t>
  </si>
  <si>
    <t>ΔΗΜΟΤΙΚΟ ΣΧΟΛΕΙΟ ΒΟΡΙΖΙΩΝ</t>
  </si>
  <si>
    <t>mail@dim-voriz.ira.sch.gr</t>
  </si>
  <si>
    <t>ΒΟΡΙΖΙΑ</t>
  </si>
  <si>
    <t>1ο  ΝΗΠΙΑΓΩΓΕΙΟ ΤΥΜΠΑΚΙΟΥ</t>
  </si>
  <si>
    <t>mail@1nip-tympak.ira.sch.gr</t>
  </si>
  <si>
    <t>1ο  ΝΗΠΙΑΓΩΓΕΙΟ ΑΣΗΜΙΟΥ</t>
  </si>
  <si>
    <t>mail@nip-asimiou.ira.sch.gr</t>
  </si>
  <si>
    <t>ΑΣΗΜΙΟΥ</t>
  </si>
  <si>
    <t>ΝΗΠΙΑΓΩΓΕΙΟ ΖΑΡΟΥ</t>
  </si>
  <si>
    <t>mail@1nip-zarou.ira.sch.gr</t>
  </si>
  <si>
    <t>ΖΑΡΟΥ</t>
  </si>
  <si>
    <t>3ο ΝΗΠΙΑΓΩΓΕΙΟ ΜΟΙΡΩΝ</t>
  </si>
  <si>
    <t>mail@3nip-moiron.ira.sch.gr</t>
  </si>
  <si>
    <t>ΔΗΜΟΤΙΚΟ ΣΧΟΛΕΙΟ ΠΕΤΡΟΚΕΦΑΛΙΟΥ</t>
  </si>
  <si>
    <t>mail@dim-petrok.ira.sch.gr</t>
  </si>
  <si>
    <t>ΠΕΤΡΟΚΕΦΑΛΙ</t>
  </si>
  <si>
    <t>ΔΗΜΟΤΙΚΟ ΣΧΟΛΕΙΟ ΣΚΑΛΑΝΙΟΥ</t>
  </si>
  <si>
    <t>mail@dim-skalan.ira.sch.gr</t>
  </si>
  <si>
    <t>ΣΚΑΛΑΝΙ</t>
  </si>
  <si>
    <t>ΝΗΠΙΑΓΩΓΕΙΟ ΓΟΥΡΝΩΝ</t>
  </si>
  <si>
    <t>mail@nip-gourn.ira.sch.gr</t>
  </si>
  <si>
    <t>ΕΙΡΗΝΗΣ ΚΑΙ Λ. ΔΗΜΟΚΡΑΤΙΑΣ ΓΟΥΡΝΕΣ ΧΕΡΣΟΝΗΣΟΥ</t>
  </si>
  <si>
    <t>2ο ΝΗΠΙΑΓΩΓΕΙΟ ΓΑΖΙΟΥ</t>
  </si>
  <si>
    <t>mail@2nip-gaziou.ira.sch.gr</t>
  </si>
  <si>
    <t>ΚΟΣΜΑ ΑΙΤΩΛΟΥ ΕΡΓ. ΚΑΤΟΙΚΙΕΣ ΓΑΖΙ</t>
  </si>
  <si>
    <t>3ο   ΝΗΠΙΑΓΩΓΕΙΟ ΒΟΥΤΩΝ</t>
  </si>
  <si>
    <t>mail@3nip-vouton.ira.sch.gr</t>
  </si>
  <si>
    <t>Λ.ΠΑΝΕΠΙΣΤΗΜΙΟΥ 70</t>
  </si>
  <si>
    <t>2ο  ΝΗΠΙΑΓΩΓΕΊΟ ΒΟΥΤΩΝ</t>
  </si>
  <si>
    <t>mail@2nip-vouton.ira.sch.gr</t>
  </si>
  <si>
    <t>ΒΟΥΤΩΝ</t>
  </si>
  <si>
    <t>ΝΗΠΙΑΓΩΓΕΙΟ ΒΕΝΕΡΑΤΟΥ</t>
  </si>
  <si>
    <t>mail@nip-vener.ira.sch.gr</t>
  </si>
  <si>
    <t>ΟΔΟΣ ΒΕΝΙΕΡΗΔΩΝ</t>
  </si>
  <si>
    <t>2ο ΔΗΜΟΤΙΚΟ ΣΧΟΛΕΙΟ ΓΑΖΙΟΥ</t>
  </si>
  <si>
    <t>mail@2dim-gaziou.ira.sch.gr</t>
  </si>
  <si>
    <t>ΕΘΝΙΚΗΣ ΑΝΤΙΣΤΑΣΕΩΣ</t>
  </si>
  <si>
    <t>1ο ΔΗΜΟΤΙΚΟ ΣΧΟΛΕΙΟ ΒΟΥΤΩΝ</t>
  </si>
  <si>
    <t>mail@1dim-vouton.ira.sch.gr</t>
  </si>
  <si>
    <t>50ο  ΝΗΠΙΑΓΩΓΕΙΟ ΗΡΑΚΛΕΙΟΥ</t>
  </si>
  <si>
    <t>mail@50nip-irakl.ira.sch.gr</t>
  </si>
  <si>
    <t>ΠΟΛΥΒΙΟΥ 3</t>
  </si>
  <si>
    <t>1ο ΔΗΜΟΤΙΚΟ ΣΧΟΛΕΙΟ ΚΡΟΥΣΩΝΑ</t>
  </si>
  <si>
    <t>mail@1dim-krouss.ira.sch.gr</t>
  </si>
  <si>
    <t>ΝΗΠΙΑΓΩΓΕΙΟ ΚΟΚΚΙΝΗ ΧΑΝΙ</t>
  </si>
  <si>
    <t>mail@nip-kokkin.ira.sch.gr</t>
  </si>
  <si>
    <t>43ο ΔΗΜΟΤΙΚΟ ΣΧΟΛΕΙΟ ΗΡΑΚΛΕΙΟΥ</t>
  </si>
  <si>
    <t>mail@43dim-irakl.ira.sch.gr</t>
  </si>
  <si>
    <t>ΣΠΥΡΟΥ ΜΟΥΣΤΑΚΛΗ 10</t>
  </si>
  <si>
    <t>ΔΗΜΟΤΙΚΟ ΣΧΟΛΕΙΟ ΒΩΡΩΝ</t>
  </si>
  <si>
    <t>mail@dim-voron.ira.sch.gr</t>
  </si>
  <si>
    <t>ΒΩΡΟΙ ΗΡΑΚΛΕΙΟΥ ΚΡΗΤΗΣ</t>
  </si>
  <si>
    <t>57ο  ΔΗΜΟΤΙΚΟ ΣΧΟΛΕΙΟ ΗΡΑΚΛΕΙΟΥ</t>
  </si>
  <si>
    <t>mail@57dim-irakl.ira.sch.gr</t>
  </si>
  <si>
    <t>2ο ΔΗΜΟΤΙΚΟ ΣΧΟΛΕΙΟ ΑΓΙΑΣ ΜΑΡΙΝΑΣ</t>
  </si>
  <si>
    <t>mail@2dim-ag-marin.ira.sch.gr</t>
  </si>
  <si>
    <t xml:space="preserve">ΑΓΙΑ ΜΑΡΙΝΑ </t>
  </si>
  <si>
    <t>Κ. ΜΗΤΣΟΤΑΚΗ 29</t>
  </si>
  <si>
    <t>73ο ΝΗΠΙΑΓΩΓΕΙΟ ΗΡΑΚΛΕΙΟΥ</t>
  </si>
  <si>
    <t>mail@73nip-irakl.ira.sch.gr</t>
  </si>
  <si>
    <t>ΠΡΙΑΜΟΥ 1</t>
  </si>
  <si>
    <t>56ο ΔΗΜΟΤΙΚΟ ΣΧΟΛΕΙΟ ΗΡΑΚΛΕΙΟΥ</t>
  </si>
  <si>
    <t>mail@56dim-irakl.ira.sch.gr</t>
  </si>
  <si>
    <t>ΠΕΖΟΔΡΟΜΟΣ ΟΡΦΕΩΣ  3</t>
  </si>
  <si>
    <t>ΔΗΜΟΤΙΚΟ ΣΧΟΛΕΙΟ ΠΡΟΦΗΤΗ ΗΛΙΑ ΗΡΑΚΛΕΙΟΥ</t>
  </si>
  <si>
    <t>mail@dim-prof-ilia.ira.sch.gr</t>
  </si>
  <si>
    <t>ΠΡΟΦΗΤΗΣ  ΗΛΙΑΣ</t>
  </si>
  <si>
    <t>ΠΡΟΦΗΤΗΣ ΗΛΙΑΣ</t>
  </si>
  <si>
    <t>74ο ΝΗΠΙΑΓΩΓΕΙΟ ΗΡΑΚΛΕΙΟΥ</t>
  </si>
  <si>
    <t>mail@74nip-irakl.ira.sch.gr</t>
  </si>
  <si>
    <t xml:space="preserve"> ΗΡΑΚΛΕΙΟ ΚΡΗΤΗΣ</t>
  </si>
  <si>
    <t>ΘΕΟΔ. ΜΑΤΘΑΙΑΚΗ  35Α</t>
  </si>
  <si>
    <t>ΔΗΜΟΤΙΚΟ ΣΧΟΛΕΙΟ ΠΥΡΓΟΥ ΑΡΧΑΝΩΝ ΑΣΤΕΡΟΥΣΙΩΝ</t>
  </si>
  <si>
    <t>dimpyrgouira@sch.gr</t>
  </si>
  <si>
    <t>ΗΡΑΚΛΕΙΟ ΚΡΗΤΗΣ</t>
  </si>
  <si>
    <t>ΠΥΡΓΟΣ ΑΣΤΕΡΟΥΣΙΩΝ</t>
  </si>
  <si>
    <t>Νηπιαγωγείο Ευρωπαϊκής Παιδείας</t>
  </si>
  <si>
    <t>ΝΗΠΙΑΓΩΓΕΙΟ ΕΥΡΩΠΑΪΚΗΣ ΠΑΙΔΕΙΑΣ</t>
  </si>
  <si>
    <t>mail@nip-eur-edu.ira.sch.gr</t>
  </si>
  <si>
    <t>ΣΑΒΒΑΘΙΑΝΩΝ ΚΑΙ ΝΙΩΤΗ 8</t>
  </si>
  <si>
    <t>Δημοτικό Σχολείο Ευρωπαϊκής Παιδείας</t>
  </si>
  <si>
    <t>ΔΗΜΟΤΙΚΟ ΣΧΟΛΕΙΟ ΕΥΡΩΠΑΪΚΗΣ ΠΑΙΔΕΙΑΣ</t>
  </si>
  <si>
    <t>mail@dim-eur-edu.ira.sch.gr</t>
  </si>
  <si>
    <t>3ο ΔΗΜΟΤΙΚΟ ΣΧΟΛΕΙΟ ΓΑΖΙΟΥ</t>
  </si>
  <si>
    <t>mail@3dim-gaziou.ira.sch.gr</t>
  </si>
  <si>
    <t>ΔΗΜΟΤΙΚΟ ΣΧΟΛΕΙΟ ΑΝΑΛΗΨΗΣ ΧΕΡΣΟΝΗΣΟΥ</t>
  </si>
  <si>
    <t>mail@dim-analips.ira.sch.gr</t>
  </si>
  <si>
    <t>Ανάληψη Χερσονήσου</t>
  </si>
  <si>
    <t>ΛΑΣΙΘΙΟΥ</t>
  </si>
  <si>
    <t>4ο ΝΗΠΙΑΓΩΓΕΙΟ ΑΓΙΑΣ ΜΑΡΙΝΑΣ</t>
  </si>
  <si>
    <t>mail@4nip-ag-marin.ira.sch.gr</t>
  </si>
  <si>
    <t>ΠΟΣΕΙΔΩΝΟΣ 10</t>
  </si>
  <si>
    <t>Π.Ε. ΛΑΣΙΘΙΟΥ</t>
  </si>
  <si>
    <t>ΝΗΠΙΑΓΩΓΕΙΟ ΑΓΙΟΥ ΓΕΩΡΓΙΟΥ ΛΑΣΙΘΙΟΥ</t>
  </si>
  <si>
    <t>mail@nip-ag-georg.las.sch.gr</t>
  </si>
  <si>
    <t>ΟΡΟΠΕΔΙΟΥ ΛΑΣΙΘΙΟΥ</t>
  </si>
  <si>
    <t>ΤΖΕΡΜΙΑΔΟ</t>
  </si>
  <si>
    <t>ΝΗΠΙΑΓΩΓΕΙΟ ΚΟΥΤΣΟΥΡΑ</t>
  </si>
  <si>
    <t>mail@nip-kouts.las.sch.gr</t>
  </si>
  <si>
    <t>ΙΕΡΑΠΕΤΡΑΣ</t>
  </si>
  <si>
    <t>ΙΕΡΑΠΕΤΡΑ</t>
  </si>
  <si>
    <t>ΚΟΥΤΣΟΥΡΑΣ</t>
  </si>
  <si>
    <t>2ο ΝΗΠΙΑΓΩΓΕΙΟ ΑΓΙΟΥ ΝΙΚΟΛΑΟΥ</t>
  </si>
  <si>
    <t>mail@2nip-ag-nikol.las.sch.gr</t>
  </si>
  <si>
    <t>ΕΒΑΝΣ 6</t>
  </si>
  <si>
    <t>1ο ΝΗΠΙΑΓΩΓΕΙΟ ΑΓΙΟΥ ΝΙΚΟΛΑΟΥ</t>
  </si>
  <si>
    <t>mail@1nip-ag-nikol.las.sch.gr</t>
  </si>
  <si>
    <t>Σ.ΔΑΒΑΚΗ 4 -  Β.ΚΟΡΝΑΡΟΥ 7</t>
  </si>
  <si>
    <t>3ο ΔΗΜΟΤΙΚΟ ΣΧΟΛΕΙΟ ΑΓΙΟΥ ΝΙΚΟΛΑΟΥ</t>
  </si>
  <si>
    <t>mail@3dim-ag-nikol.las.sch.gr</t>
  </si>
  <si>
    <t>ΤΕΡΜΑ ΚΑΖΑΝΗ</t>
  </si>
  <si>
    <t>3ο ΔΗΜΟΤΙΚΟ ΣΧΟΛΕΙΟ ΣΗΤΕΙΑΣ</t>
  </si>
  <si>
    <t>mail@3dim-siteias.las.sch.gr</t>
  </si>
  <si>
    <t>ΣΗΤΕΙΑΣ</t>
  </si>
  <si>
    <t>ΣΗΤΕΙΑ</t>
  </si>
  <si>
    <t>ΚΟΚΚΙΝΑ</t>
  </si>
  <si>
    <t>3ο ΝΗΠΙΑΓΩΓΕΙΟ ΣΗΤΕΙΑΣ</t>
  </si>
  <si>
    <t>mail@3nip-siteias.las.sch.gr</t>
  </si>
  <si>
    <t>Σητεία</t>
  </si>
  <si>
    <t>Νικήτα Νικητάκη, Κόκκινα</t>
  </si>
  <si>
    <t>1ο ΔΗΜΟΤΙΚΟ ΣΧΟΛΕΙΟ ΑΓΙΟΥ ΝΙΚΟΛΑΟΥ</t>
  </si>
  <si>
    <t>mail@1dim-ag-nikol.las.sch.gr</t>
  </si>
  <si>
    <t>Δ. ΣΟΛΩΜΟΥ 13 &amp; Ν. ΠΛΑΣΤΗΡΑ</t>
  </si>
  <si>
    <t>ΔΗΜ. ΣΧΟΛΕΙΟ ΑΓΙΟΥ ΓΕΩΡΓΙΟΥ</t>
  </si>
  <si>
    <t>mail@dim-ag-georg.las.sch.gr</t>
  </si>
  <si>
    <t>ΑΓΙΟΣ  ΓΕΩΡΓΙΟΣ ΛΑΣΙΘΙΟΥ ΚΡΗΤΗ</t>
  </si>
  <si>
    <t>3ο ΝΗΠΙΑΓΩΓΕΙΟ ΑΓΙΟΥ ΝΙΚΟΛΑΟΥ</t>
  </si>
  <si>
    <t>mail@3nip-ag-nikol.las.sch.gr</t>
  </si>
  <si>
    <t>ΚΑΖΑΝΗ</t>
  </si>
  <si>
    <t>6ο ΝΗΠΙΑΓΩΓΕΙΟ ΑΓΙΟΥ ΝΙΚΟΛΑΟΥ</t>
  </si>
  <si>
    <t>mail@6nip-ag-nikol.las.sch.gr</t>
  </si>
  <si>
    <t>ΠΕΡΙΟΧΗ ΚΟΠΡΑΝΕΣ ΩΡΙΩΝΟΣ ΚΑΙ ΓΑΛΗΝΟΥ</t>
  </si>
  <si>
    <t>2ο ΝΗΠΙΑΓΩΓΕΙΟ ΝΕΑΠΟΛΗΣ ΛΑΣΙΘΙΟΥ</t>
  </si>
  <si>
    <t>mail@2nip-neapol.las.sch.gr</t>
  </si>
  <si>
    <t>ΙΩΑΝΝΗ ΣΕΡΓΑΚΗ 60</t>
  </si>
  <si>
    <t>4ο ΔΗΜΟΤΙΚΟ ΣΧΟΛΕΙΟ ΑΓΙΟΥ ΝΙΚΟΛΑΟΥ</t>
  </si>
  <si>
    <t>mail@4dim-ag-nikol.las.sch.gr</t>
  </si>
  <si>
    <t>ΧΑΤΖΗΔΑΚΙ -ΞΑΝΘΟΥΔΙΔΟΥ ΑΜΜΟΥΔΙ</t>
  </si>
  <si>
    <t>2ο ΔΗΜΟΤΙΚΟ ΣΧΟΛΕΙΟ ΑΓΙΟΥ ΝΙΚΟΛΑΟΥ</t>
  </si>
  <si>
    <t>mail@2dim-ag-nikol.las.sch.gr</t>
  </si>
  <si>
    <t>ΚΩΝΣΤΑΝΤΙΝΟΥ ΠΑΛΑΙΟΛΟΓΟΥ 78</t>
  </si>
  <si>
    <t>3ο ΝΗΠΙΑΓΩΓΕΙΟ ΙΕΡΑΠΕΤΡΑΣ</t>
  </si>
  <si>
    <t>mail@3nip-ierap.las.sch.gr</t>
  </si>
  <si>
    <t>Ιεράπετρα</t>
  </si>
  <si>
    <t>Τζιβέρι</t>
  </si>
  <si>
    <t>4ο ΝΗΠΙΑΓΩΓΕΙΟ ΣΗΤΕΙΑΣ - ΨΑΡΑΚΕΙΟ ΝΗΠΙΑΓΩΓΕΙΟ ΣΗΤΕΙΑΣ</t>
  </si>
  <si>
    <t>mail@4nip-siteias.las.sch.gr</t>
  </si>
  <si>
    <t>ΠΑΠΑΝΑΣΤΑΣΙΟΥ 59</t>
  </si>
  <si>
    <t>ΝΗΠΙΑΓΩΓΕΙΟ ΚΡΙΤΣΑΣ</t>
  </si>
  <si>
    <t>mail@nip-krits.las.sch.gr</t>
  </si>
  <si>
    <t>ΚΡΙΤΣΑ</t>
  </si>
  <si>
    <t>2ο ΔΗΜΟΤΙΚΟ ΣΧΟΛΕΙΟ ΣΗΤΕΙΑΣ</t>
  </si>
  <si>
    <t>mail@2dim-siteias.las.sch.gr</t>
  </si>
  <si>
    <t>ΚΑΡΑΟΛΗ ΚΑΙ ΔΗΜΗΤΡΙΟΥ</t>
  </si>
  <si>
    <t>5ο ΝΗΠΙΑΓΩΓΕΙΟ ΑΓΙΟΥ ΝΙΚΟΛΑΟΥ</t>
  </si>
  <si>
    <t>mail@5nip-ag-nikol.las.sch.gr</t>
  </si>
  <si>
    <t>ΔΗΜΟΤΙΚΟ ΣΧΟΛΕΙΟ ΚΟΥΤΣΟΥΡΑ</t>
  </si>
  <si>
    <t>mail@dim-kouts.las.sch.gr</t>
  </si>
  <si>
    <t>ΔΗΜΟΤΙΚΟ ΣΧΟΛΕΙΟ ΣΕΙΣΙΟΥ - ΠΛΑΤΑΚΗ</t>
  </si>
  <si>
    <t>mail@dim-seisiou.las.sch.gr</t>
  </si>
  <si>
    <t>ΣΕΙΣΙ</t>
  </si>
  <si>
    <t>ΗΡΩΩΝ ΠΟΛΥΤΕΧΝΕΙΟΥ</t>
  </si>
  <si>
    <t>ΔΗΜΟΤΙΚΟ ΣΧΟΛΕΙΟ ΜΑΚΡΥ ΓΙΑΛΟΥ</t>
  </si>
  <si>
    <t>mail@dim-mak-gialou.las.sch.gr</t>
  </si>
  <si>
    <t>ΜΑΚΡΥΣ ΓΙΑΛΟΣ</t>
  </si>
  <si>
    <t>1ο ΝΗΠΙΑΓΩΓΕΙΟ ΝΕΑΠΟΛΗΣ ΛΑΣΙΘΙΟΥ</t>
  </si>
  <si>
    <t>mail@1nip-neapol.las.sch.gr</t>
  </si>
  <si>
    <t>ΠΑΡΙΑΡΧΟΥ ΜΕΤΑΞΑΚΗ 2</t>
  </si>
  <si>
    <t>1ο ΔΗΜΟΤΙΚΟ ΣΧΟΛΕΙΟ ΣΗΤΕΙΑΣ</t>
  </si>
  <si>
    <t>mail@1dim-siteias.las.sch.gr</t>
  </si>
  <si>
    <t>ΓΑΒΡΙΗΛ ΑΡΚΑΔΙΟΥ 1</t>
  </si>
  <si>
    <t>4ο ΔΗΜΟΤΙΚΟ ΣΧΟΛΕΙΟ ΣΗΤΕΙΑΣ</t>
  </si>
  <si>
    <t>mail@4dim-siteias.las.sch.gr</t>
  </si>
  <si>
    <t>ΑΛΕΚΟΥ ΓΕΡΟΛΑΚΗ  9</t>
  </si>
  <si>
    <t>4ο ΝΗΠΙΑΓΩΓΕΙΟ ΑΓΙΟΥ ΝΙΚΟΛΑΟΥ</t>
  </si>
  <si>
    <t>mail@4nip-ag-nikol.las.sch.gr</t>
  </si>
  <si>
    <t>ΑΜΜΟΥΔΙ</t>
  </si>
  <si>
    <t>ΔΗΜΟΤΙΚΟ ΣΧΟΛΕΙΟ ΠΑΛΑΙΚΑΣΤΡΟΥ</t>
  </si>
  <si>
    <t>mail@dim-palaik.las.sch.gr</t>
  </si>
  <si>
    <t>ΠΑΛΑΙΚΑΣΤΡΟ, ΣΗΤΕΙΑ, ΚΡΗΤΗ</t>
  </si>
  <si>
    <t>ΔΗΜΟΤΙΚΟ ΣΧΟΛΕΙΟ ΚΡΙΤΣΑΣ</t>
  </si>
  <si>
    <t>mail@dim-krits.las.sch.gr</t>
  </si>
  <si>
    <t>Γ.ΠΕΔΙΑΔΙΤΗ</t>
  </si>
  <si>
    <t>ΝΗΠΙΑΓΩΓΕΙΟ ΕΛΟΥΝΤΑΣ</t>
  </si>
  <si>
    <t>mail@nip-elount.las.sch.gr</t>
  </si>
  <si>
    <t>ΕΛΟΥΝΤΑ</t>
  </si>
  <si>
    <t>ΟΔ. ΕΛΥΤΗ 1</t>
  </si>
  <si>
    <t>2ο ΝΗΠΙΑΓΩΓΕΙΟ ΙΕΡΑΠΕΤΡΑΣ</t>
  </si>
  <si>
    <t>mail@2nip-ierap.las.sch.gr</t>
  </si>
  <si>
    <t>ΚΥΠΡΟΥ  29</t>
  </si>
  <si>
    <t>ΔΗΜΟΤΙΚΟ ΣΧΟΛΕΙΟ ΝΕΑΣ ΑΝΑΤΟΛΗΣ</t>
  </si>
  <si>
    <t>mail@dim-n-anatol.las.sch.gr</t>
  </si>
  <si>
    <t>ΝΕΑ ΑΝΑΤΟΛΗ</t>
  </si>
  <si>
    <t>ΝΕΑ ΑΝΑΤΟΛΗ ΙΕΡΑΠΕΤΡΑΣ</t>
  </si>
  <si>
    <t>1ο ΔΗΜΟΤΙΚΟ ΣΧΟΛΕΙΟ ΙΕΡΑΠΕΤΡΑΣ</t>
  </si>
  <si>
    <t>mail@1dim-ierap.las.sch.gr</t>
  </si>
  <si>
    <t>ΝΙΚ.ΒΑΣΑΡΜΙΔΗ 56</t>
  </si>
  <si>
    <t>2ο  ΠΕΙΡΑΜΑΤΙΚΟ ΔΗΜΟΤΙΚΟ ΣΧΟΛΕΙΟ ΙΕΡΑΠΕΤΡΑΣ</t>
  </si>
  <si>
    <t>mail@2dim-ierap.las.sch.gr</t>
  </si>
  <si>
    <t>ΠΛΑΤΕΙΑ ΕΛΕΥΘΕΡΙΟΥ ΒΕΝΙΖΕΛΟΥ</t>
  </si>
  <si>
    <t>3ο ΔΗΜΟΤΙΚΟ ΣΧΟΛΕΙΟ ΙΕΡΑΠΕΤΡΑΣ</t>
  </si>
  <si>
    <t>mail@3dim-ierap.las.sch.gr</t>
  </si>
  <si>
    <t>ΦΙΛΟΘΕΟΥ Α 2</t>
  </si>
  <si>
    <t>4ο  ΔΗΜΟΤΙΚΟ ΣΧΟΛΕΙΟ ΙΕΡΑΠΕΤΡΑΣ</t>
  </si>
  <si>
    <t>mail@4dim-ierap.las.sch.gr</t>
  </si>
  <si>
    <t>ΠΛΑΤ. ΜΕΜΟΥ ΜΑΚΡΗ</t>
  </si>
  <si>
    <t>5ο ΔΗΜΟΤΙΚΟ ΣΧΟΛΕΙΟ ΙΕΡΑΠΕΤΡΑΣ</t>
  </si>
  <si>
    <t>mail@5dim-ierap.las.sch.gr</t>
  </si>
  <si>
    <t>ΓΡΑ- ΛΥΓΙΑ ΙΕΡΑΠΕΤΡΑΣ</t>
  </si>
  <si>
    <t>ΓΡΑ-ΛΥΓΙΑ ΙΕΡΑΠΕΤΡΑΣ</t>
  </si>
  <si>
    <t>4ο ΝΗΠΙΑΓΩΓΕΙΟ ΙΕΡΑΠΕΤΡΑΣ</t>
  </si>
  <si>
    <t>mail@4nip-ierap.las.sch.gr</t>
  </si>
  <si>
    <t>ΟΠΛΑΡΧΗΓΟΥ ΛΑΚΕΡΔΑ  21</t>
  </si>
  <si>
    <t>ΔΗΜΟΤΙΚΟ ΣΧΟΛΕΙΟ ΦΕΡΜΩΝ</t>
  </si>
  <si>
    <t>mail@dim-fermon.las.sch.gr</t>
  </si>
  <si>
    <t xml:space="preserve">Φέρμα </t>
  </si>
  <si>
    <t>Φέρμα Ιεράπετρας</t>
  </si>
  <si>
    <t>5ο ΝΗΠΙΑΓΩΓΕΙΟ ΙΕΡΑΠΕΤΡΑΣ</t>
  </si>
  <si>
    <t>mail@5nip-ierap.las.sch.gr</t>
  </si>
  <si>
    <t>ΠΑΠΑΝΟΥΤΣΟΥ  - ΗΛΙΟΥ</t>
  </si>
  <si>
    <t>6ο ΝΗΠΙΑΓΩΓΕΙΟ ΙΕΡΑΠΕΤΡΑΣ</t>
  </si>
  <si>
    <t>mail@6nip-ierap.las.sch.gr</t>
  </si>
  <si>
    <t>ΝΗΠΙΑΓΩΓΕΙΟ ΚΕΝΤΡΙΟΥ</t>
  </si>
  <si>
    <t>mail@nip-kentr.las.sch.gr</t>
  </si>
  <si>
    <t>ΚΕΝΤΡΙ ΙΕΡΑΠΕΤΡΑΣ</t>
  </si>
  <si>
    <t>ΔΗΜΟΤΙΚΟ ΣΧΟΛΕΙΟ ΚΕΝΤΡΙΟΥ</t>
  </si>
  <si>
    <t>mail@dim-kentr.las.sch.gr</t>
  </si>
  <si>
    <t>ΚΕΝΤΡΙ</t>
  </si>
  <si>
    <t>1ο  ΠΕΙΡΑΜΑΤΙΚΟ ΝΗΠΙΑΓΩΓΕΙΟ ΙΕΡΑΠΕΤΡΑΣ</t>
  </si>
  <si>
    <t>mail@1nip-ierap.las.sch.gr</t>
  </si>
  <si>
    <t>ΑΛΥΚΗ</t>
  </si>
  <si>
    <t>ΔΗΜΟΤΙΚΟ ΣΧΟΛΕΙΟ ΕΛΟΥΝΤΑΣ</t>
  </si>
  <si>
    <t>mail@dim-elount.las.sch.gr</t>
  </si>
  <si>
    <t>ΠΛΑΤΩΝΟΣ &amp;  ΟΔ.ΕΛΥΤΗ</t>
  </si>
  <si>
    <t>5ο ΔΗΜΟΤΙΚΟ ΣΧΟΛΕΙΟ ΑΓΙΟΥ ΝΙΚΟΛΑΟΥ</t>
  </si>
  <si>
    <t>mail@5dim-ag-nikol.las.sch.gr</t>
  </si>
  <si>
    <t>ΑΓΙΟΣ ΝΙ%</t>
  </si>
  <si>
    <t>ΚΕΡΑΣ 42, ΠΕΡΙΟΧΗ ΣΤΑΥΡΟΥ</t>
  </si>
  <si>
    <t>7ο ΝΗΠΙΑΓΩΓΕΙΟ ΙΕΡΑΠΕΤΡΑΣ</t>
  </si>
  <si>
    <t>mail@7nip-ierap.las.sch.gr</t>
  </si>
  <si>
    <t>ΕΛΛΗΝΩΝ ΟΛΥΜΠΙΟΝΙΚΩΝ</t>
  </si>
  <si>
    <t>1ο ΔΗΜΟΤΙΚΟ ΣΧΟΛΕΙΟ ΝΕΑΠΟΛΗΣ</t>
  </si>
  <si>
    <t>mail@1dim-neapol.las.sch.gr</t>
  </si>
  <si>
    <t>ΠΑΤΡΙΑΡΧΟΥ ΜΕΛΕΤΙΟΥ ΜΕΤΑΞΑΚΗ 1</t>
  </si>
  <si>
    <t>2ο ΔΗΜΟΤΙΚΟ ΣΧΟΛΕΙΟ ΝΕΑΠΟΛΗΣ ΛΑΣΙΘΙΟΥ</t>
  </si>
  <si>
    <t>mail@2dim-neapol.las.sch.gr</t>
  </si>
  <si>
    <t>ΘΕΡΙΣΣΟΥ 17</t>
  </si>
  <si>
    <t>ΝΗΠΙΑΓΩΓΕΙΟ ΓΡΑ ΛΥΓΙΑΣ</t>
  </si>
  <si>
    <t>mail@nip-gra-lygias.las.sch.gr</t>
  </si>
  <si>
    <t>ΓΡΑ ΛΥΓΙΑ ΙΕΡΑΠΕΤΡΑΣ</t>
  </si>
  <si>
    <t>Π.Ε. ΡΕΘΥΜΝΟΥ</t>
  </si>
  <si>
    <t>ΝΗΠΙΑΓΩΓΕΙΟ ΜΙΣΙΡΙΩΝ - ΤΡΙΘΕΣΙΟ ΝΗΠΙΑΓΩΓΕΙΟ ΜΙΣΙΡΙΩΝ</t>
  </si>
  <si>
    <t>mail@nip-misir.reth.sch.gr</t>
  </si>
  <si>
    <t>ΡΕΘΥΜΝΗΣ</t>
  </si>
  <si>
    <t>Μισίρια</t>
  </si>
  <si>
    <t>Παπούρα-Μισίρια</t>
  </si>
  <si>
    <t>9ο ΟΛΟΗΜΕΡΟ ΝΗΠΙΑΓΩΓΕΙΟ ΡΕΘΥΜΝΟΥ - ΕΝΑΤΟ ΔΙΘΕΣΙΟ ΟΛΟΗΜΕΡΟ ΝΗΠΙΑΓΩΓΕΙΟ ΡΕΘΥΜΝΟΥ</t>
  </si>
  <si>
    <t>mail@9nip-rethymn.reth.sch.gr</t>
  </si>
  <si>
    <t>ΡΕΘΥΜΝΟΥ</t>
  </si>
  <si>
    <t>ΚΑΠΟΔΙΣΤΡΙΟΥ 43</t>
  </si>
  <si>
    <t>6ο  ΝΗΠΙΑΓΩΓΕΙΟ ΡΕΘΥΜΝΟΥ - ΕΚΤΟ ΔΙΘΕΣΙΟ ΝΗΠΙΑΓΩΓΕΙΟΥ ΡΕΘΥΜΝΟΥ</t>
  </si>
  <si>
    <t>mail@6nip-rethymn.reth.sch.gr</t>
  </si>
  <si>
    <t>ΕΥΓΓΕΛ. ΔΑΣΚΑΛΑΚΗ</t>
  </si>
  <si>
    <t>5ο ΤΡΙΘΕΣΙΟ ΟΛΟΗΜΕΡΟ ΝΗΠΙΑΓΩΓΕΙΟ ΡΕΘΥΜΝΟΥ - ΠΕΜΠΤΟ ΤΡΙΘΕΣΙΟ ΟΛΟΗΜΕΡΟ ΝΗΠΙΑΓΩΓΕΙΟ ΡΕΘΥΜΝΟΥ</t>
  </si>
  <si>
    <t>mail@5nip-rethymn.reth.sch.gr</t>
  </si>
  <si>
    <t>ΧΡΥΣΗΣ ΑΓΓΕΛΙΔΑΚΗ  2</t>
  </si>
  <si>
    <t>ΔΙΘΕΣΙΟ ΝΗΠΙΑΓΩΓΕΙΟ ΠΛΑΤΑΝΙΑ</t>
  </si>
  <si>
    <t>mail@nip-platane.reth.sch.gr</t>
  </si>
  <si>
    <t>ΠΛΑΤΑΝΙΑ</t>
  </si>
  <si>
    <t>ΝΙΚΟΜΗΔΕΙΑΣ 9Α ΚΑΙ ΤΡΑΠΕΖ</t>
  </si>
  <si>
    <t>4ο ΝΗΠΙΑΓΩΓΕΙΟ ΡΕΘΥΜΝΟΥ</t>
  </si>
  <si>
    <t>mail@4nip-rethymn.reth.sch.gr</t>
  </si>
  <si>
    <t>ΔΡΑΚΟΝΤΟΠΟΥΛΩΝ 1</t>
  </si>
  <si>
    <t>ΔΙΘΕΣΙΟ ΟΛΟΗΜΕΡΟ ΝΗΠΑΓΩΓΕΙΟ ΑΓΙΑΣ ΠΑΡΑΣΚΕΥΗΣ</t>
  </si>
  <si>
    <t>mail@nip-adele.reth.sch.gr</t>
  </si>
  <si>
    <t>14ο 2/ΘΕΣΙΟ ΝΗΠΙΑΓΩΓΕΙΟ ΡΕΘΥΜΝΟΥ - ΔΕΚΑΤΟ ΤΕΤΑΡΤΟ ΔΙΘΕΣΙΟ  ΝΗΠΙΑΓΩΓΕΙΟ ΡΕΘΥΜΝΟΥ</t>
  </si>
  <si>
    <t>mail@14nip-rethymn.reth.sch.gr</t>
  </si>
  <si>
    <t>ΟΠΛΑΡΧΗΓΟΥ ΠΑΧΛΑ 49 &amp; ΠΑΥΛΟΥ ΜΠΑΚΟΓΙΑΝΝΗ</t>
  </si>
  <si>
    <t>ΔΙΘΕΣΙΟ ΟΛΟΗΜΕΡΟ ΝΗΠΙΑΓΩΓΕΙΟ ΠΗΓΗΣ</t>
  </si>
  <si>
    <t>mail@nip-pigis.reth.sch.gr</t>
  </si>
  <si>
    <t>ΠΗΓΗ</t>
  </si>
  <si>
    <t>13ο 2/ΘΕΣΙΟ   ΝΗΠΙΑΓΩΓΕΙΟ ΡΕΘΥΜΝΟΥ - ΔΕΚΑΤΟ ΤΡΙΤΟ ΔΙΘΕΣΙΟ   ΝΗΠΙΑΓΩΓΕΙΟ ΡΕΘΥΜΝΟΥ</t>
  </si>
  <si>
    <t>mail@13nip-rethymn.reth.sch.gr</t>
  </si>
  <si>
    <t>7ο ΟΛΟΗΜΕΡΟ ΔΗΜΟΤΙΚΟ ΣΧΟΛΕΙΟ ΡΕΘΥΜΝΗΣ/ ΕΒΔΟΜΟ ΔΩΔΕΚΑΘΕΣΙΟ ΟΛΟΗΜΕΡΟ ΔΗΜΟΤΙΚΟ ΣΧΟΛΕΙΟ ΡΕΘΥΜΝΗΣ</t>
  </si>
  <si>
    <t>mail@7dim-rethymn.reth.sch.gr</t>
  </si>
  <si>
    <t>ΡΕΘΥΜΝΟ</t>
  </si>
  <si>
    <t>ΑΠ. ΑΠΟΣΤΟΛΑΚΗ 6</t>
  </si>
  <si>
    <t>ΔΗΜΟΤΙΚΟ ΣΧΟΛΕΙΟ ΡΟΥΣΣΟΣΠΙΤΙΟΥ - ΠΕΝΤΑΘΕΣΙΟ ΟΛΟΗΜΕΡΟ ΔΗΜΟΤΙΚΟ ΣΧΟΛΕΙΟ ΡΟΥΣΣΟΣΠΙΤΙΟΥ</t>
  </si>
  <si>
    <t>mail@dim-rouss.reth.sch.gr</t>
  </si>
  <si>
    <t>ΡΟΥΣΣΟΣΠΙΤΙ</t>
  </si>
  <si>
    <t>ΟΛΟΗΜΕΡΟ ΔΗΜΟΤΙΚΟ ΣΧΟΛΕΙΟ ΑΠΟΣΤΟΛΩΝ - ΟΛΟΗΜΕΡΟ ΕΞΑΘΕΣΙΟ ΔΗΜΟΤΙΚΟ ΣΧΟΛΕΙΟ ΑΠΟΣΤΟΛΩΝ</t>
  </si>
  <si>
    <t>mail@dim-apost.reth.sch.gr</t>
  </si>
  <si>
    <t>ΑΜΑΡΙΟΥ</t>
  </si>
  <si>
    <t>ΑΠΟΣΤΟΛΟΙ</t>
  </si>
  <si>
    <t>9ο 12/ΘΕΣΙΟ ΟΛΟΗΜΕΡΟ ΔΗΜΟΤΙΚΟ ΣΧΟΛΕΙΟ ΡΕΘΥΜΝΟΥ</t>
  </si>
  <si>
    <t>mail@9dim-rethymn.reth.sch.gr</t>
  </si>
  <si>
    <t>ΜΑΧΗΣ ΚΡΗΤΗΣ 33</t>
  </si>
  <si>
    <t>2ο ΔΗΜΟΤΙΚΟ ΣΧΟΛΕΙΟ ΡΕΘΥΜΝΟΥ</t>
  </si>
  <si>
    <t>2dimreth@sch.gr</t>
  </si>
  <si>
    <t>ΛΕΩΦΟΡΟΣ ΚΟΥΝΤΟΥΡΙΩΤΗ 43</t>
  </si>
  <si>
    <t>2ο ΟΛΟΗΜΕΡΟ ΔΗΜΟΤΙΚΟ ΣΧΟΛΕΙΟ ΠΕΡΑΜΑΤΟΣ - ΟΚΤΑΘΕΣΙΟ ΟΛΟΗΜΕΡΟ ΔΗΜ.ΣΧΟΛΕΙΟ ΠΕΡΑΜΑΤΟΣ</t>
  </si>
  <si>
    <t>mail@2dim-peram.reth.sch.gr</t>
  </si>
  <si>
    <t>ΜΥΛΟΠΟΤΑΜΟΥ</t>
  </si>
  <si>
    <t>ΔΗΜΟΤΙΚΟ ΣΧΟΛΕΙΟ ΣΤΑΥΡΩΜΕΝΟΥ</t>
  </si>
  <si>
    <t>mail@dim-stavr.reth.sch.gr</t>
  </si>
  <si>
    <t>ΣΤΑΥΡΩΜΕΝΟΣ</t>
  </si>
  <si>
    <t>3ο ΔΗΜΟΤΙΚΟ ΣΧΟΛΕΙΟ ΡΕΘΥΜΝΟΥ</t>
  </si>
  <si>
    <t>mail@3dim-rethymn.reth.sch.gr</t>
  </si>
  <si>
    <t>ΨΙΛΑΚΙ 1</t>
  </si>
  <si>
    <t>14ο ΔΗΜΟΤΙΚΟ ΣΧΟΛΕΙΟ ΡΕΘΥΜΝΟΥ</t>
  </si>
  <si>
    <t>mail@14dim-rethymn.reth.sch.gr</t>
  </si>
  <si>
    <t>Κ.ΒΑΡΝΑΛΗ 21</t>
  </si>
  <si>
    <t>1ο ΔΗΜΟΤΙΚΟ ΣΧΟΛΕΙΟ ΑΝΩΓΕΙΩΝ</t>
  </si>
  <si>
    <t>mail@1dim-anogeion.reth.sch.gr</t>
  </si>
  <si>
    <t>ΑΝΩΓΕΙΩΝ</t>
  </si>
  <si>
    <t>ΑΝΩΓΕΙΑ ΡΕΘΥΜΝΟΥ</t>
  </si>
  <si>
    <t>12/ΘΕΣΙΟ ΔΗΜΟΤΙΚΟ ΣΧΟΛΕΙΟ ΑΔΕΛΕ</t>
  </si>
  <si>
    <t>mail@dim-adele.reth.sch.gr</t>
  </si>
  <si>
    <t>ΑΔΕΛΕ</t>
  </si>
  <si>
    <t>6ο 12/ΘΕΣΙΟ ΟΛΟΗΜΕΡΟ ΔΗΜΟΤΙΚΟ ΣΧΟΛΕΙΟ ΡΕΘΥΜΝΟΥ-ΕΚΤΟ ΔΩΔΕΚΑΘΕΣΙΟ ΟΛΟΗΜΕΡΟ ΔΗΜΟΤΙΚΟ ΣΧΟΛΕΙΟ  ΡΕΘΥΜΝΟΥ</t>
  </si>
  <si>
    <t>mail@6dim-rethymn.reth.sch.gr</t>
  </si>
  <si>
    <t>ΘΕΟΤΟΚΟΠΟΥΛΟΥ 18</t>
  </si>
  <si>
    <t>ΕΞΑΘΕΣΙΟ ΟΛΟΗΜΕΡΟ ΔΗΜΟΤΙΚΟ ΣΧΟΛΕΙΟ ΛΙΒΑΔΙΩΝ</t>
  </si>
  <si>
    <t>mail@dim-livad.reth.sch.gr</t>
  </si>
  <si>
    <t>ΛΙΒΑΔΙΑ</t>
  </si>
  <si>
    <t>ΛΙΒΑΔΙΑ ΜΥΛΟΠΟΤΑΜΟΥ</t>
  </si>
  <si>
    <t>5ο ΔΩΔΕΚΑΘΕΣΙΟ ΟΛΟΗΜΕΡΟ ΔΗΜΟΤΙΚΟ ΣΧΟΛΕΙΟ ΡΕΘΥΜΝΟΥ</t>
  </si>
  <si>
    <t>mail@5dim-rethymn.reth.sch.gr</t>
  </si>
  <si>
    <t>ΔΗΜΟΤΙΚΟ ΣΧΟΛΕΙΟ ΖΩΝΙΑΝΩΝ</t>
  </si>
  <si>
    <t>mail@dim-zonian.reth.sch.gr</t>
  </si>
  <si>
    <t>ΖΩΝΙΑΝΑ</t>
  </si>
  <si>
    <t>Ζωνιανά, Ρέθυμνο</t>
  </si>
  <si>
    <t>ΤΡΙΘΕΣΙΟ ΟΛΟΗΜΕΡΟ ΝΗΠΙΑΓΩΓΕΙΟ ΣΤΑΥΡΩΜΕΝΟΥ</t>
  </si>
  <si>
    <t>mail@nip-stavr.reth.sch.gr</t>
  </si>
  <si>
    <t>10ο ΟΛΟΗΜΕΡΟ ΔΗΜΟΤΙΚΟ ΣΧΟΛΕΙΟ ΡΕΘΥΜΝΟΥ</t>
  </si>
  <si>
    <t>dim10reth@sch.gr</t>
  </si>
  <si>
    <t>ΝΙΚΟΜΗΔΕΙΑΣ 9A</t>
  </si>
  <si>
    <t>8ο ΟΛΟΗΜΕΡΟ ΔΗΜΟΤΙΚΟ ΣΧΟΛΕΙΟ ΡΕΘΥΜΝΟΥ - ΟΓΔΟΟ ΔΩΔΕΚΑΘΕΣΙΟ ΟΛΟΗΜΕΡΟ ΔΗΜΟΤΙΚΟ ΣΧΟΛΕΙΟ ΡΕΘΥΜΝΟΥ</t>
  </si>
  <si>
    <t>mail@8dim-rethymn.reth.sch.gr</t>
  </si>
  <si>
    <t>ΕΜΜ. ΠΑΧΛΑ ΠΕΡΙΒΟΛΙΑ</t>
  </si>
  <si>
    <t>1ο ΝΗΠΙΑΓΩΓΕΙΟ ΑΝΩΓΕΙΑ - ΠΡΩΤΟ ΝΗΠΙΑΓΩΓΕΙΟ ΑΝΩΓΕΙΩΝ</t>
  </si>
  <si>
    <t>mail@1nip-anogeion.reth.sch.gr</t>
  </si>
  <si>
    <t>ΑΝΩΓΕΙΑ ΜΥΛΟΠΟΤΑΜΟΥ ΡΕΘΥΜΝΟΥ</t>
  </si>
  <si>
    <t>ΑΝΩΓΕΙΑ ΜΥΛΟΠΟΤΑΜΟΥ</t>
  </si>
  <si>
    <t>ΝΗΠΙΑΓΩΓΕΙΟ ΜΥΡΘΙΟΥ</t>
  </si>
  <si>
    <t>mail@nip-myrth.reth.sch.gr</t>
  </si>
  <si>
    <t>ΑΓΙΟΥ ΒΑΣΙΛΕΙΟΥ</t>
  </si>
  <si>
    <t>ΜΥΡΘΙΟΣ</t>
  </si>
  <si>
    <t>11ο ΟΛΟΗΜΕΡΟ ΝΗΠΙΑΓΩΓΕΙΟ ΡΕΘΥΜΝΟ - ΕΝΔΕΚΑΤΟ ΔΙΘΕΣΙΟ ΟΛΟΗΜΕΡΟ ΝΗΠΙΑΓΩΓΕΙΟ ΡΕΘΥΜΝΟΥ</t>
  </si>
  <si>
    <t>mail@11nip-rethymn.reth.sch.gr</t>
  </si>
  <si>
    <t>ΚΟΥΡΗΤΩΝ 9</t>
  </si>
  <si>
    <t>1ο 3/θ ΝΗΠΙΑΓΩΓΕΙΟ ΡΕΘΥΜΝΟΥ - ΠΡΩΤΟ ΤΡΙΘΕΣΙΟ ΝΗΠΙΑΓΩΓΕΙΟ ΡΕΘΥΜΝΟΥ</t>
  </si>
  <si>
    <t>mail@1nip-rethymn.reth.sch.gr</t>
  </si>
  <si>
    <t>Λ.ΚΟΥΝΤΟΥΡΙΩΤΟΥ 43</t>
  </si>
  <si>
    <t>3ο  ΝΗΠΙΑΓΩΓΕΙΟ ΡΕΘΥΜΝΟΥ</t>
  </si>
  <si>
    <t>mail@3nip-rethymn.reth.sch.gr</t>
  </si>
  <si>
    <t>ΨΙΛΛΑΚΗ 1</t>
  </si>
  <si>
    <t>2/ΘΕΣΙΟ ΟΛΟΗΜΕΡΟ ΝΗΠΙΑΓΩΓΕΙΟ ΠΡΙΝΕ - ΔΙΘΕΣΙΟ ΟΛΟΗΜΕΡΟ ΝΗΠΙΑΓΩΓΕΙΟ ΠΡΙΝΕ</t>
  </si>
  <si>
    <t>mail@nip-prine.reth.sch.gr</t>
  </si>
  <si>
    <t>ΠΡΙΝΕΣ</t>
  </si>
  <si>
    <t>7ο ΟΛΟΗΜΕΡΟ ΝΗΠΙΑΓΩΓΕΙΟ ΡΕΘΥΜΝΟ - ΕΒΔΟΜΟ ΤΕΤΡΑΘΕΣΙΟ ΝΗΠΙΑΓΩΓΕΙΟ ΡΕΘΥΜΝΟΥ</t>
  </si>
  <si>
    <t>mail@7nip-rethymn.reth.sch.gr</t>
  </si>
  <si>
    <t>ΚΝΩΣΣΟΥ 2</t>
  </si>
  <si>
    <t>2ο ΟΛΟΗΜΕΡΟ ΝΗΠΙΑΓΩΓΕΙΟ ΑΤΣΙΠΟΠΟΥΛΟ - ΔΙΘΕΣΙΟ ΟΛΟΗΜΕΡΟ ΝΗΠ.ΑΤΣΙΠΟΠΟΥΛΟΥ</t>
  </si>
  <si>
    <t>mail@2nip-atsip.reth.sch.gr</t>
  </si>
  <si>
    <t>ΑΤΣΙΠΟΠΟΥΛΟ</t>
  </si>
  <si>
    <t>ΟΛΟΗΜΕΡΟ ΝΗΠΙΑΓΩΓΕΙΟ ΓΩΝΙΑ - ΔΙΘΕΣΙΟ ΟΛΟΗΜΕΡΟ ΝΗΠΙΑΓΩΓΕΙΟ ΓΩΝΙΑΣ</t>
  </si>
  <si>
    <t>mail@nip-gonias.reth.sch.gr</t>
  </si>
  <si>
    <t>ΓΩΝΙΑ</t>
  </si>
  <si>
    <t>ΔΙΘΕΣΙΟ ΟΛΟΗΜΕΡΟ  ΝΗΠΙΑΓΩΓΕΙΟ ΓΕΡΑΝΙΟΥ</t>
  </si>
  <si>
    <t>mail@nip-geran.reth.sch.gr</t>
  </si>
  <si>
    <t>ΓΕΡΑΝΙ</t>
  </si>
  <si>
    <t>2/Θ  ΝΗΠΙΑΓΩΓΕΙΟ ΓΕΡΑΝΙΟΥ  ΝΟΜΟΥ ΡΕΘΥΜΝΟΥ</t>
  </si>
  <si>
    <t>ΟΛΟΗΜΕΡΟ ΔΗΜΟΤΙΚΟ ΣΧΟΛΕΙΟ ΑΓΚΟΥΣΕΛΙΑΝΩΝ</t>
  </si>
  <si>
    <t>mail@dim-agkous.reth.sch.gr</t>
  </si>
  <si>
    <t>ΑΓΚΟΥΣΕΛΙΑΝΑ</t>
  </si>
  <si>
    <t>ΟΛΟΗΜΕΡΟ ΔΗΜΟΤΙΚΟ ΣΧΟΛΕΙΟ ΣΠΗΛΙ - ΟΚΤΑΘΕΣΙΟ ΟΛΟΗΜΕΡΟ ΔΗΜΟΤΙΚΟ ΣΧΟΛΕΙΟ ΣΠΗΛΙΟΥ</t>
  </si>
  <si>
    <t>mail@dim-spiliou.reth.sch.gr</t>
  </si>
  <si>
    <t>ΣΠΗΛΙ ΡΕΘΥΜΝΟΥ</t>
  </si>
  <si>
    <t>8ο ΤΕΤΡΑΘΕΣΙΟ ΟΛΟΗΜΕΡΟ ΝΗΠΙΑΓΩΓΕΙΟ ΡΕΘΥΜΝΟΥ</t>
  </si>
  <si>
    <t>mail@8nip-rethymn.reth.sch.gr</t>
  </si>
  <si>
    <t>ΑΠΟΣΤΟΛΑΚΗ 6</t>
  </si>
  <si>
    <t>1ο  ΠΕΙΡΑΜΑΤΙΚΟ ΔΗΜΟΤΙΚΟ ΣΧΟΛΕΙΟ ΡΕΘΥΜΝΟΥ</t>
  </si>
  <si>
    <t>mail@1dim-rethymn.reth.sch.gr</t>
  </si>
  <si>
    <t>ΕΘΝ. ΑΝΤΙΣΤΑΣΕΩΣ 74</t>
  </si>
  <si>
    <t>15ο ΔΗΜΟΤΙΚΟ ΣΧΟΛΕΙΟ ΡΕΘΥΜΝΟΥ - ΔΕΚΑΤΟ ΠΕΜΠΤΟ ΔΩΔΕΚΑΘΕΣΙΟ ΟΛΟΗΜΕΡΟ ΔΗΜΟΤΙΚΟ ΣΧΟΛΕΙΟ ΡΕΘΥΜΝΟΥ - ΑΝΔΡΕΑΣ ΝΕΝΕΔΑΚΗΣ</t>
  </si>
  <si>
    <t>mail@15dim-rethymn.reth.sch.gr</t>
  </si>
  <si>
    <t>ΟΛΟΗΜΕΡΟ ΔΗΜΟΤΙΚΟ ΣΧΟΛΕΙΟ ΓΕΡΑΝΙ - ΕΞΑΘΕΣΙΟ ΟΛΟΗΜΕΡΟ ΔΗΜΟΤΙΚΟ ΣΧΟΛΕΙΟ ΓΕΡΑΝΙΟΥ</t>
  </si>
  <si>
    <t>mail@dim-geran.reth.sch.gr</t>
  </si>
  <si>
    <t>1ο ΟΚΤΑΘΕΣΙΟ ΟΛΟΗΜΕΡΟ ΔΗΜΟΤΙΚΟ ΣΧΟΛΕΙΟ ΑΤΣΙΠΟΠΟΥΛΟΥ</t>
  </si>
  <si>
    <t>mail@dim-atsip.reth.sch.gr</t>
  </si>
  <si>
    <t>1ο ΔΗΜΟΤΙΚΟ ΣΧΟΛΕΙΟ ΠΛΑΚΙΑ</t>
  </si>
  <si>
    <t>mail@dim-plakia.reth.sch.gr</t>
  </si>
  <si>
    <t>ΠΛΑΚΙΑΣ</t>
  </si>
  <si>
    <t>ΟΛΟΗΜΕΡΟ ΔΗΜΟΤΙΚΟ ΣΧΟΛΕΙΟ ΓΩΝΙΑΣ - ΕΞΑΘΕΣΙΟ ΟΛΟΗΜΕΡΟ ΔΗΜΟΤΙΚΟ ΣΧΟΛΕΙΟ ΓΩΝΙΑΣ</t>
  </si>
  <si>
    <t>mail@dim-gonias.reth.sch.gr</t>
  </si>
  <si>
    <t>ΓΩΝΙΑ ΡΕΘΥΜΝΟΥ</t>
  </si>
  <si>
    <t>6/Θ ΟΛΟΗΜΕΡΟ ΔΗΜΟΤΙΚΟ ΣΧΟΛΕΙΟ ΑΡΜΕΝΩΝ</t>
  </si>
  <si>
    <t>mail@dim-armen.reth.sch.gr</t>
  </si>
  <si>
    <t>ΑΡΜΕΝΟΙ</t>
  </si>
  <si>
    <t>Αρμένοι Ρεθύμνης</t>
  </si>
  <si>
    <t>ΝΗΠΙΑΓΩΓΕΙΟ ΖΩΝΙΑΝΩΝ - ΔΙΘΕΣΙΟ  ΝΗΠΙΑΓΩΓΕΙΟ ΖΩΝΙΑΝΩΝ</t>
  </si>
  <si>
    <t>mail@nip-zonian.reth.sch.gr</t>
  </si>
  <si>
    <t>ΖΩΝΙΑΝΩΝ</t>
  </si>
  <si>
    <t>ΟΛΟΗΜΕΡΟ ΔΗΜΟΤΙΚΟ ΣΧΟΛΕΙΟ ΠΡΙΝΕΣ - ΠΕΝΤΑΘΕΣΙΟ ΟΛΟΗΜΕΡΟ ΔΗΜΟΤΙΚΟ ΣΧΟΛΕΙΟ ΠΡΙΝΕ</t>
  </si>
  <si>
    <t>mail@dim-prine.reth.sch.gr</t>
  </si>
  <si>
    <t>13ο ΔΗΜΟΤΙΚΟ ΣΧΟΛΕΙΟ ΡΕΘΥΜΝΟΥ - ΔΩΔΕΚΑΘΕΣΙΟ ΟΛΟΗΜΕΡΟ ΔΗΜΟΤΙΚΟ ΣΧΟΛΕΙΟ ΡΕΘΥΜΝΟΥ</t>
  </si>
  <si>
    <t>mail@13dim-rethymn.reth.sch.gr</t>
  </si>
  <si>
    <t>ΚΝΩΣΟΥ  2</t>
  </si>
  <si>
    <t>10ο ΝΗΠΙΑΓΩΓΕΙΟ ΡΕΘΥΜΝΟΥ - ΔΕΚΑΤΟ ΤΡΙΘΕΣΙΟ ΝΗΠΙΑΓΩΓΕΙΟ ΡΕΘΥΜΝΟΥ</t>
  </si>
  <si>
    <t>mail@10nip-rethymn.reth.sch.gr</t>
  </si>
  <si>
    <t>ΙΔΟΜΕΝΕΩΣ 12</t>
  </si>
  <si>
    <t>16ο ΟΛΟΗΜΕΡΟ ΔΗΜΟΤΙΚΟ ΣΧΟΛΕΙΟ ΡΕΘΥΜΝΟ - ΕΠΤΑΘΕΣΙΟ ΟΛΟΗΜΕΡΟ ΔΗΜΟΤΙΚΟ ΣΧΟΛΕΙΟ ΡΕΘΥΜΝΟΥ</t>
  </si>
  <si>
    <t>mail@16dim-rethymn.reth.sch.gr</t>
  </si>
  <si>
    <t>ΙΕΡΑΣ ΜΗΤΡΟΠΟΛΕΩΣ 15</t>
  </si>
  <si>
    <t>2ο ΟΛΟΗΜΕΡΟ ΔΗΜΟΤΙΚΟ ΣΧΟΛΕΙΟ ΑΤΣΙΠΟΠΟΥΛΟΥ - ΔΕΥΤΕΡΟ ΕΝΝΙΑΘΕΣΙΟ ΟΛΟΗΜΕΡΟ ΔΗΜΟΤΙΚΟ ΣΧΟΛΕΙΟ ΑΤΣΙΠΟΠΟΥΛΟΥ</t>
  </si>
  <si>
    <t>mail@2dim-atsip.reth.sch.gr</t>
  </si>
  <si>
    <t>οδός Κνωσού, Ατσιπόπουλο, T.Θ.3043</t>
  </si>
  <si>
    <t>3ο  ΝΗΠΙΑΓΩΓΕΙΟ ΑΤΣΙΠΟΠΟΥΛΟΥ</t>
  </si>
  <si>
    <t>mail@3nip-atsip.reth.sch.gr</t>
  </si>
  <si>
    <t>ΑΤΣΙΠΟΠΟΥΛΟΥ</t>
  </si>
  <si>
    <t>ΚΝΩΣΣΟΥ</t>
  </si>
  <si>
    <t>ΟΛΟΗΜΕΡΟ ΔΗΜΟΤΙΚΟ ΣΧΟΛΕΙΟ ΕΠΙΣΚΟΠΗΣ - ΕΞΑΘΕΣΙΟ ΟΛΟΗΜΕΡΟ ΔΗΜΟΤΙΚΟ ΣΧΟΛΕΙΟ ΕΠΙΣΚΟΠΗΣ</t>
  </si>
  <si>
    <t>mail@dim-episk.reth.sch.gr</t>
  </si>
  <si>
    <t>ΕΠΙΣΚΟΠΗ ΡΕΘΥΜΝΟΥ</t>
  </si>
  <si>
    <t>ΕΞΑΘΕΣΙΟ ΟΛΟΗΜΕΡΟ ΔΗΜΟΤΙΚΟ ΣΧΟΛΕΙΟ ΑΓΙΟΥ ΝΙΚΟΛΑΟΥ</t>
  </si>
  <si>
    <t>mail@dim-ag-nikol.reth.sch.gr</t>
  </si>
  <si>
    <t>ΑΓΙΟΣ  ΝΙΚΟΛΑΟΣ</t>
  </si>
  <si>
    <t>2/Θ ΝΗΠΙΑΓΩΓΕΙΟ ΑΓΙΟΥ ΝΙΚΟΛΑΟΥ</t>
  </si>
  <si>
    <t>mail@nip-ag-nikol.reth.sch.gr</t>
  </si>
  <si>
    <t>1ο  ΔΗΜΟΤΙΚΟ ΣΧΟΛΕΙΟ ΠΕΡΑΜΑΤΟΣ ΡΕΘΥΜΝΗΣ</t>
  </si>
  <si>
    <t>mail@1dim-peram.reth.sch.gr</t>
  </si>
  <si>
    <t>1ο 3/ΘΕΣΙΟ ΝΗΠΙΑΓΩΓΕΙΟ ΠΕΡΑΜΑΤΟΣ - ΠΡΩΤΟ ΤΡΙΘΕΣΙΟ ΝΗΠΙΑΓΩΓΕΙΟ ΠΕΡΑΜΑΤΟΣ</t>
  </si>
  <si>
    <t>mail@1nip-peram.reth.sch.gr</t>
  </si>
  <si>
    <t>2ο ΟΛΟΗΜΕΡΟ ΝΗΠΙΑΓΩΓΕΙΟ ΠΕΡΑΜΑΤΟΣ - ΔΕΥΤΕΡΟ ΟΛΟΗΜΕΡΟ ΝΗΠΙΑΓΩΓΕΙΟ ΠΕΡΑΜΑΤΟΣ</t>
  </si>
  <si>
    <t>mail@2nip-peram.reth.sch.gr</t>
  </si>
  <si>
    <t>4ο ΔΙΘΕΣΙΟ ΟΛΟΗΜΕΡΟ ΝΗΠΙΑΓΩΓΕΙΟ ΑΤΣΙΠΟΠΟΥΛΟΥ</t>
  </si>
  <si>
    <t>mail@4nip-atsip.reth.sch.gr</t>
  </si>
  <si>
    <t>Εθνικής Αντιστάσεως</t>
  </si>
  <si>
    <t>Π.Ε. ΧΑΝΙΩΝ</t>
  </si>
  <si>
    <t>ΝΗΠΙΑΓΩΓΕΙΟ ΑΝΩΠΟΛΗΣ ΣΦΑΚΙΩΝ</t>
  </si>
  <si>
    <t>mail@nip-an-polis.chan.sch.gr</t>
  </si>
  <si>
    <t>ΣΦΑΚΙΩΝ</t>
  </si>
  <si>
    <t>ΑΝΩΠΟΛΗΣ</t>
  </si>
  <si>
    <t>ΑΝΩΠΟΛΗ ΣΦΑΚΙΩΝ</t>
  </si>
  <si>
    <t>ΔΗΜΟΤΙΚΟ ΣΧΟΛΕΙΟ ΒΟΥΚΟΛΙΩΝ</t>
  </si>
  <si>
    <t>mail@dim-voukol.chan.sch.gr</t>
  </si>
  <si>
    <t>ΒΟΥΚΟΛΙΕΣ</t>
  </si>
  <si>
    <t>ΒΟΥΚΟΛΙΕΣ ΚΙΣΑΜΟΥ</t>
  </si>
  <si>
    <t>2ο ΝΗΠΙΑΓΩΓΕΙΟ ΧΑΝΙΩΝ</t>
  </si>
  <si>
    <t>mail@2nip-chanion.chan.sch.gr</t>
  </si>
  <si>
    <t>ΧΑΝΙΩΝ</t>
  </si>
  <si>
    <t>ΔΥΤΙΚΟ ΦΡΟΥΡΙΟ ΧΑΝΙΑ</t>
  </si>
  <si>
    <t>3ο ΝΗΠΙΑΓΩΓΕΙΟ ΝΕΑΣ ΚΥΔΩΝΙΑΣ</t>
  </si>
  <si>
    <t>mail@3nip-n-kydon.chan.sch.gr</t>
  </si>
  <si>
    <t>ΝΕΑΣ ΚΥΔΩΝΙΑΣ</t>
  </si>
  <si>
    <t>ΠΛΑΤΕΙΑ ΠΥΘΙΑΣ</t>
  </si>
  <si>
    <t>ΔΗΜΟΤΙΚΟ ΣΧΟΛΕΙΟ ΑΓΙΑΣ</t>
  </si>
  <si>
    <t>mail@dim-agias.chan.sch.gr</t>
  </si>
  <si>
    <t>ΑΓΙΑ ΚΥΔΩΝΙΑΣ</t>
  </si>
  <si>
    <t>1ο ΝΗΠΙΑΓΩΓΕΙΟ ΣΟΥΔΑΣ</t>
  </si>
  <si>
    <t>mail@1nip-soudas.chan.sch.gr</t>
  </si>
  <si>
    <t>ΣΟΥΔΑΣ</t>
  </si>
  <si>
    <t>25  ΜΑΡΤΙΟΥ</t>
  </si>
  <si>
    <t>ΔΗΜΟΤΙΚΟ ΣΧΟΛΕΙΟ ΚΟΥΡΝΑ</t>
  </si>
  <si>
    <t>mail@dim-kourn.chan.sch.gr</t>
  </si>
  <si>
    <t>ΑΠΟΚΟΡΩΝΟΥ</t>
  </si>
  <si>
    <t>ΚΟΥΡΝΑΣ ΑΠΟΚΟΡΩΝΟΥ</t>
  </si>
  <si>
    <t>ΚΟΥΡΝΑΣ</t>
  </si>
  <si>
    <t>ΔΗΜΟΤΙΚΟ ΣΧΟΛΕΙΟ ΠΕΡΙΒΟΛΙΩΝ</t>
  </si>
  <si>
    <t>mail@dim-periv.chan.sch.gr</t>
  </si>
  <si>
    <t>ΠΕΡΙΒΟΛΙΑ</t>
  </si>
  <si>
    <t>ΔΗΜΟΤΙΚΟ ΣΧΟΛΕΙΟ ΒΟΥΒΑ</t>
  </si>
  <si>
    <t>mail@dim-vouva.chan.sch.gr</t>
  </si>
  <si>
    <t>ΒΟΥΒΑ</t>
  </si>
  <si>
    <t>ΒΟΥΒΑΣ ΣΦΑΚΙΩΝ</t>
  </si>
  <si>
    <t>ΔΗΜΟΤΙΚΟ ΣΧΟΛΕΙΟ ΑΓΙΑΣ ΜΑΡΙΝΑΣ</t>
  </si>
  <si>
    <t>mail@dim-ag-marin.chan.sch.gr</t>
  </si>
  <si>
    <t>ΑΓΙΑΣ  ΜΑΡΙΝΑΣ</t>
  </si>
  <si>
    <t>ΑΔΑΜΑΝΤΙΟΥ ΚΟΡΑΗ-ΑΓΙΑ ΜΑΡΙΝΑ</t>
  </si>
  <si>
    <t>ΝΗΠΙΑΓΩΓΕΙΟ ΜΑΛΕΜΕ</t>
  </si>
  <si>
    <t>mail@2nip-malem.chan.sch.gr</t>
  </si>
  <si>
    <t>ΜΑΛΕΜΕ</t>
  </si>
  <si>
    <t>ΝΗΠΙΑΓΩΓΕΙΟ ΑΣΚΥΦΟΥ</t>
  </si>
  <si>
    <t>mail@nip-askyf.chan.sch.gr</t>
  </si>
  <si>
    <t>ΑΣΚΥΦΟΥ</t>
  </si>
  <si>
    <t>ΑΣΚΥΦΟΥ ΣΦΑΚΙΩΝ</t>
  </si>
  <si>
    <t>ΝΗΠΙΑΓΩΓΕΙΟ ΑΓΙΑΣ ΜΑΡΙΝΑΣ ΧΑΝΙΩΝ</t>
  </si>
  <si>
    <t>mail@5nip-n-kydon.chan.sch.gr</t>
  </si>
  <si>
    <t xml:space="preserve">ΑΓΙΑΣ ΜΑΡΙΝΑΣ </t>
  </si>
  <si>
    <t>3ο ΝΗΠΙΑΓΩΓΕΙΟ ΜΟΥΡΝΙΩΝ</t>
  </si>
  <si>
    <t>mail@3nip-mourn.chan.sch.gr</t>
  </si>
  <si>
    <t>ΜΟΥΡΝΙΩΝ</t>
  </si>
  <si>
    <t>ΕΡΓΑΤΙΚΕΣ ΚΑΤΟΙΚΙΕΣ, ΚΟΚΚΙΝΟ ΜΕΤΟΧΙ</t>
  </si>
  <si>
    <t>2ο ΝΗΠΙΑΓΩΓΕΙΟ ΒΑΜΒΑΚΟΠΟΥΛΟΥ</t>
  </si>
  <si>
    <t>mail@2nip-vamvak.chan.sch.gr</t>
  </si>
  <si>
    <t>ΒΑΜΒΑΚΟΠΟΥΛΟΥ</t>
  </si>
  <si>
    <t>ΦΥΝΤΙΚΙ ΜΕΤΟΧΙ 4</t>
  </si>
  <si>
    <t>14ο ΝΗΠΙΑΓΩΓΕΙΟ ΧΑΝΙΩΝ</t>
  </si>
  <si>
    <t>mail@14nip-chanion.chan.sch.gr</t>
  </si>
  <si>
    <t>Χανιά</t>
  </si>
  <si>
    <t>Ουέλινγκτον 25</t>
  </si>
  <si>
    <t>2ο ΝΗΠΙΑΓΩΓΕΙΟ ΜΟΥΡΝΙΩΝ</t>
  </si>
  <si>
    <t>mail@2nip-mourn.chan.sch.gr</t>
  </si>
  <si>
    <t>ΜΟΥΡΝΙΕΣ</t>
  </si>
  <si>
    <t>ΝΗΠΙΑΓΩΓΕΙΟ ΒΟΥΒΑ</t>
  </si>
  <si>
    <t>mail@nip-vouva.chan.sch.gr</t>
  </si>
  <si>
    <t>15ο ΝΗΠΙΑΓΩΓΕΙΟ ΧΑΝΙΩΝ</t>
  </si>
  <si>
    <t>mail@15nip-chanion.chan.sch.gr</t>
  </si>
  <si>
    <t>ΜΑΚΕΔΟΝΟΜΑΧΩΝ ΧΑΝΙΑ 25</t>
  </si>
  <si>
    <t>ΝΗΠΙΑΓΩΓΕΙΟ ΒΑΜΟΥ</t>
  </si>
  <si>
    <t>mail@nip-vamou.chan.sch.gr</t>
  </si>
  <si>
    <t>ΒΑΜΟΥ</t>
  </si>
  <si>
    <t>ΒΑΜΟΣ ΑΠΟΚΟΡΩΝΟΥ ΧΑΝΙΩΝ</t>
  </si>
  <si>
    <t>1ο ΝΗΠΙΑΓΩΓΕΙΟ ΑΡΩΝΙΟΥ</t>
  </si>
  <si>
    <t>mail@1nip-aroniou.chan.sch.gr</t>
  </si>
  <si>
    <t>ΑΡΩΝΙΟΥ</t>
  </si>
  <si>
    <t>Γρα Στέρνα -ΑΡΩΝΙ</t>
  </si>
  <si>
    <t>ΝΗΠΙΑΓΩΓΕΙΟ ΚΟΥΡΝΑ</t>
  </si>
  <si>
    <t>mail@nip-kourn.chan.sch.gr</t>
  </si>
  <si>
    <t>ΝΗΠΙΑΓΩΓΕΙΟ ΣΚΙΝΕ - ΦΟΥΡΝΕ</t>
  </si>
  <si>
    <t>mail@2nip-mousour.chan.sch.gr</t>
  </si>
  <si>
    <t>ΣΚΙΝΕ - ΦΟΥΡΝΕ</t>
  </si>
  <si>
    <t>ΣΚΙΝΕΣ  ΚΥΔΩΝΙΑΣ</t>
  </si>
  <si>
    <t>ΔΗΜΟΤΙΚΟ ΣΧΟΛΕΙΟ ΓΕΩΡΓΙΟΥΠΟΛΗΣ</t>
  </si>
  <si>
    <t>mail@dim-georg.chan.sch.gr</t>
  </si>
  <si>
    <t>ΓΕΩΡΓΙΟΥΠΟΛΗ</t>
  </si>
  <si>
    <t>ΔΗΜΟΤΙΚΟ ΣΧΟΛΕΙΟ ΑΣΚΥΦΟΥ</t>
  </si>
  <si>
    <t>mail@dim-askyf.chan.sch.gr</t>
  </si>
  <si>
    <t>ΑΜΜΟΥΔΑΡΙ ΑΣΚΥΦΟΥ ΣΦΑΚΙΩΝ</t>
  </si>
  <si>
    <t>ΔΗΜΟΤΙΚΟ ΣΧΟΛΕΙΟ ΒΑΜΟΥ</t>
  </si>
  <si>
    <t>mail@dim-vamou.chan.sch.gr</t>
  </si>
  <si>
    <t>ΒΑΜΟΣ</t>
  </si>
  <si>
    <t>1ο  ΔΗΜΟΤΙΚΟ ΣΧΟΛΕΙΟ ΚΙΣΑΜΟΥ</t>
  </si>
  <si>
    <t>mail@1dim-kisam.chan.sch.gr</t>
  </si>
  <si>
    <t>ΚΙΣΣΑΜΟΥ</t>
  </si>
  <si>
    <t>ΚΙΣΑΜΟΣ</t>
  </si>
  <si>
    <t>ΟΜΟΓΕΝΩΝ ΑΜΕΡΙΚΗΣ 40</t>
  </si>
  <si>
    <t>ΝΗΠΙΑΓΩΓΕΙΟ ΣΤΥΛΟΥ</t>
  </si>
  <si>
    <t>mail@nip-stylou.chan.sch.gr</t>
  </si>
  <si>
    <t>ΣΤΥΛΟΥ</t>
  </si>
  <si>
    <t>ΣΤΥΛΟΣ ΑΠΟΚΟΡΩΝΟΥ</t>
  </si>
  <si>
    <t>9ο ΝΗΠΙΑΓΩΓΕΙΟ ΧΑΝΙΩΝ</t>
  </si>
  <si>
    <t>mail@9nip-chanion.chan.sch.gr</t>
  </si>
  <si>
    <t>ΣΚΡΑ 19</t>
  </si>
  <si>
    <t>5ο ΝΗΠΙΑΓΩΓΕΙΟ ΧΑΝΙΩΝ</t>
  </si>
  <si>
    <t>mail@5nip-chanion.chan.sch.gr</t>
  </si>
  <si>
    <t>ΜΕΛΕΤΙΟΥ ΜΕΤΑΞΑΚΗ 64</t>
  </si>
  <si>
    <t>3ο ΔΗΜΟΤΙΚΟ ΣΧΟΛΕΙΟ ΚΙΣΑΜΟΥ</t>
  </si>
  <si>
    <t>mail@3dim-kisam.chan.sch.gr</t>
  </si>
  <si>
    <t>ΚΙΣΑΜΟΣ ΧΑΝΙΩΝ</t>
  </si>
  <si>
    <t>13ο ΝΗΠΙΑΓΩΓΕΙΟ ΧΑΝΙΩΝ</t>
  </si>
  <si>
    <t>mail@13nip-chanion.chan.sch.gr</t>
  </si>
  <si>
    <t>ΠΑΝΤΕΛΗ ΠΡΕΒΕΛΑΚΗ</t>
  </si>
  <si>
    <t>17ο ΝΗΠΙΑΓΩΓΕΙΟ ΧΑΝΙΩΝ</t>
  </si>
  <si>
    <t>mail@17nip-chanion.chan.sch.gr</t>
  </si>
  <si>
    <t>ΝΙΚΟΛΑΟΥ ΣΚΟΥΛΑ 61</t>
  </si>
  <si>
    <t>1ο ΝΗΠΙΑΓΩΓΕΙΟ ΠΑΛΑΙΟΧΩΡΑΣ</t>
  </si>
  <si>
    <t>mail@1nip-palaioch.chan.sch.gr</t>
  </si>
  <si>
    <t>ΚΑΝΤΑΝΟΥ - ΣΕΛΙΝΟΥ</t>
  </si>
  <si>
    <t>ΠΑΛΑΙΟΧΩΡΑΣ</t>
  </si>
  <si>
    <t>1ο ΝΗΠΙΑΓΩΓΕΙΟ ΜΟΥΡΝΙΩΝ</t>
  </si>
  <si>
    <t>mail@1nip-mourn.chan.sch.gr</t>
  </si>
  <si>
    <t>ΠΕΡΓΑΜΟΥ 1</t>
  </si>
  <si>
    <t>ΝΗΠΙΑΓΩΓΕΙΟ ΒΟΥΚΟΛΙΩΝ</t>
  </si>
  <si>
    <t>mail@nip-voukol.chan.sch.gr</t>
  </si>
  <si>
    <t>ΒΟΥΚΟΛΙΩΝ</t>
  </si>
  <si>
    <t>1ο ΝΗΠΙΑΓΩΓΕΙΟ ΝΕΑΣ ΚΥΔΩΝΙΑΣ</t>
  </si>
  <si>
    <t>mail@1nip-n-kydon.chan.sch.gr</t>
  </si>
  <si>
    <t>ΑΝΩ ΓΑΛΑΤΑΣ</t>
  </si>
  <si>
    <t>2ο ΔΗΜΟΤΙΚΟ ΣΧΟΛΕΙΟ ΝΕΑΣ ΚΥΔΩΝΙΑΣ</t>
  </si>
  <si>
    <t>mail@2dim-n-kydon.chan.sch.gr</t>
  </si>
  <si>
    <t>ΓΕΡΟΓΙΑΝΝΗΔΩΝ</t>
  </si>
  <si>
    <t>2ο  ΝΗΠΙΑΓΩΓΕΙΟ ΣΟΥΔΑΣ</t>
  </si>
  <si>
    <t>mail@2nip-soudas.chan.sch.gr</t>
  </si>
  <si>
    <t>ΚΥΔΩΝΙΑΣ ΚΑΤΩ ΣΟΥΔΑΣ</t>
  </si>
  <si>
    <t>2ο ΝΗΠΙΑΓΩΓΕΙΟ ΑΓΡΟΚΗΠΙΟΥ</t>
  </si>
  <si>
    <t>mail@2nip-agrok.chan.sch.gr</t>
  </si>
  <si>
    <t>ΑΓΡΟΚΗΠΙΟΥ</t>
  </si>
  <si>
    <t>Ι. ΚΟΝΔΥΛΑΚΗ 1</t>
  </si>
  <si>
    <t>1ο ΝΗΠΙΑΓΩΓΕΙΟ ΑΓΡΟΚΗΠΙΟΥ</t>
  </si>
  <si>
    <t>mail@1nip-agrok.chan.sch.gr</t>
  </si>
  <si>
    <t>Μ. ΤΣΟΝΤΟΥ 75</t>
  </si>
  <si>
    <t>4ο ΝΗΠΙΑΓΩΓΕΙΟ ΜΟΥΡΝΙΩΝ</t>
  </si>
  <si>
    <t>mail@4nip-mourn.chan.sch.gr</t>
  </si>
  <si>
    <t>1ο ΝΗΠΙΑΓΩΓΕΙΟ ΠΕΡΙΒΟΛΙΩΝ</t>
  </si>
  <si>
    <t>mail@1nip-periv.chan.sch.gr</t>
  </si>
  <si>
    <t>ΠΕΡΙΒΟΛΙΩΝ</t>
  </si>
  <si>
    <t>ΠΕΡΙΒΟΛΙΑ ΧΑΝΙΩΝ</t>
  </si>
  <si>
    <t>2ο ΔΗΜΟΤΙΚΟ ΣΧΟΛΕΙΟ ΧΑΝΙΩΝ</t>
  </si>
  <si>
    <t>2dimchan@sch.gr</t>
  </si>
  <si>
    <t>ΧΑΝΙΑ</t>
  </si>
  <si>
    <t>ΔΥΤΙΚΟ ΦΡΟΥΡΙΟ ΧΑΝΙΩΝ</t>
  </si>
  <si>
    <t>1ο ΔΗΜΟΤΙΚΟ ΣΧΟΛΕΙΟ ΜΟΥΡΝΙΩΝ</t>
  </si>
  <si>
    <t>mail@1dim-mourn.chan.sch.gr</t>
  </si>
  <si>
    <t>ΑΓΙΟΥ ΝΕΚΤΑΡΙΟΥ ΚΑΙ ΜΙΚΡΑΣ ΑΣΙΑΣ ΠΑΣΑΚΑΚΙ</t>
  </si>
  <si>
    <t>ΔΗΜΟΤΙΚΟ ΣΧΟΛΕΙΟ ΑΓΡΟΚΗΠΙΟΥ</t>
  </si>
  <si>
    <t>dimagrok@sch.gr</t>
  </si>
  <si>
    <t>ΑΓΡΟΚΗΠΙΟ</t>
  </si>
  <si>
    <t>ΜΙΧΑΗΛ ΤΣΟΝΤΟΥ  75</t>
  </si>
  <si>
    <t>ΔΗΜΟΤΙΚΟ ΣΧΟΛΕΙΟ ΝΕΡΟΚΟΥΡΟΥ</t>
  </si>
  <si>
    <t>mail@dim-nerok.chan.sch.gr</t>
  </si>
  <si>
    <t>ΠΕΡΣΕΑ ΝΕΡΟΚΟΥΡΟΥ</t>
  </si>
  <si>
    <t>1ο ΝΗΠΙΑΓΩΓΕΙΟ ΤΣΙΚΑΛΑΡΙΩΝ</t>
  </si>
  <si>
    <t>mail@nip-tsikal.chan.sch.gr</t>
  </si>
  <si>
    <t>ΣΟΥΔΑ - ΧΑΝΙΑ</t>
  </si>
  <si>
    <t>ΤΣΙΚΑΛΑΡΙΑ</t>
  </si>
  <si>
    <t>ΝΗΠΙΑΓΩΓΕΙΟ ΝΕΡΟΚΟΥΡΟΥ ΧΑΝΙΩΝ</t>
  </si>
  <si>
    <t>mail@nip-nerok.chan.sch.gr</t>
  </si>
  <si>
    <t>ΝΕΡΟΚΟΥΡΟΥ</t>
  </si>
  <si>
    <t>ΝΗΠΙΑΓΩΓΕΙΟ ΑΓΙΩΝ ΣΑΡΑΝΤΑ</t>
  </si>
  <si>
    <t>mail@nip-ag-sarant.chan.sch.gr</t>
  </si>
  <si>
    <t>ΚΑΤΣΙΦΑΡΙΑΝΑ ΧΑΝΙΩΝ</t>
  </si>
  <si>
    <t>ΙΚΑΡΟΥ 27</t>
  </si>
  <si>
    <t>ΔΗΜΟΤΙΚΟ ΣΧΟΛΕΙΟ ΒΑΜΒΑΚΟΠΟΥΛΟΥ</t>
  </si>
  <si>
    <t>mail@dim-vamvak.chan.sch.gr</t>
  </si>
  <si>
    <t>ΒΑΜΒΑΚΟΠΟΥΛΟ</t>
  </si>
  <si>
    <t>ΕΘΝΙΚΗΣ ΑΝΤΙΣΤΑΣΗΣ 17</t>
  </si>
  <si>
    <t>ΔΗΜΟΤΙΚΟ ΣΧΟΛΕΙΟ ΑΝΩΠΟΛΗΣ</t>
  </si>
  <si>
    <t>mail@dim-an-polis.chan.sch.gr</t>
  </si>
  <si>
    <t>13ο ΔΗΜΟΤΙΚΟ ΣΧΟΛΕΙΟ ΧΑΝΙΩΝ</t>
  </si>
  <si>
    <t>13dimchacha@sch.gr</t>
  </si>
  <si>
    <t>ΠΑΝΤΕΛΗ ΠΡΕΒΕΛΑΚΗ ΧΑΝΙΑ ΚΡΗΤΗΣ</t>
  </si>
  <si>
    <t>4ο ΔΗΜΟΤΙΚΟ ΣΧΟΛΕΙΟ ΧΑΝΙΩΝ</t>
  </si>
  <si>
    <t>mail@4dim-chanion.chan.sch.gr</t>
  </si>
  <si>
    <t>ΧΑΝΙA</t>
  </si>
  <si>
    <t>ΠΛ. ΑΡΚΑΔΙΟΥ</t>
  </si>
  <si>
    <t>ΝΗΠΙΑΓΩΓΕΙΟ ΒΡΥΣΩΝ ΑΠΟΚΟΡΩΝΟΥ</t>
  </si>
  <si>
    <t>nipvrysonchan@sch.gr</t>
  </si>
  <si>
    <t>ΒΡΥΣΩΝ ΑΠΟΚΟΡΩΝΟΥ</t>
  </si>
  <si>
    <t>ΒΡΥΣΕΣ ΑΠΟΚΟΡΩΝΟΥ</t>
  </si>
  <si>
    <t>22ο ΝΗΠΙΑΓΩΓΕΙΟ ΧΑΝΙΩΝ</t>
  </si>
  <si>
    <t>mail@22nip-chanion.chan.sch.gr</t>
  </si>
  <si>
    <t>ΒΑΣΙΛΗ ΠΟΘΟΥΛΑΚΗ 3</t>
  </si>
  <si>
    <t>18ο ΔΗΜΟΤΙΚΟ ΣΧΟΛΕΙΟ ΧΑΝΙΩΝ</t>
  </si>
  <si>
    <t>mail@18dim-chanion.chan.sch.gr</t>
  </si>
  <si>
    <t>ΑΓΑΘΑΓΓΕΛΟΥ ΝΙΝΟΛΑΚΗ</t>
  </si>
  <si>
    <t>ΝΗΠΙΑΓΩΓΕΙΟ ΤΑΥΡΩΝΙΤΗ</t>
  </si>
  <si>
    <t>mail@nip-tavron.chan.sch.gr</t>
  </si>
  <si>
    <t>ΤΑΥΡΩΝΙΤΗ</t>
  </si>
  <si>
    <t>ΤΑΥΡΩΝΙΤΗΣ</t>
  </si>
  <si>
    <t>10ο ΔΗΜΟΤΙΚΟ ΣΧΟΛΕΙΟ ΧΑΝΙΩΝ</t>
  </si>
  <si>
    <t>mail@10dim-chanion.chan.sch.gr</t>
  </si>
  <si>
    <t>ΡΩΜΑΝΟΥ 3</t>
  </si>
  <si>
    <t>2ο ΔΗΜΟΤΙΚΟ ΣΧΟΛΕΙΟ ΣΟΥΔΑΣ</t>
  </si>
  <si>
    <t>mail@2dim-soudas.chan.sch.gr</t>
  </si>
  <si>
    <t>ΣΟΥΔΑ</t>
  </si>
  <si>
    <t>ΚΥΔΩΝΙΑΣ 1</t>
  </si>
  <si>
    <t>4ο ΝΗΠΙΑΓΩΓΕΙΟ ΚΙΣΑΜΟΥ</t>
  </si>
  <si>
    <t>mail@4nip-kisam.chan.sch.gr</t>
  </si>
  <si>
    <t>ΚΙΣΑΜΟΥ</t>
  </si>
  <si>
    <t>ΝΗΠΙΑΓΩΓΕΙΟ ΠΛΑΤΑΝΟΥ ΧΑΝΙΩΝ</t>
  </si>
  <si>
    <t>mail@nip-platan.chan.sch.gr</t>
  </si>
  <si>
    <t>ΠΛΑΤΑΝΟΥ</t>
  </si>
  <si>
    <t>ΠΛΑΤΑΝΟΣ ΚΙΣΑΜΟΥ</t>
  </si>
  <si>
    <t>1ο ΔΗΜΟΤΙΚΟ ΣΧΟΛΕΙΟ ΣΟΥΔΑΣ</t>
  </si>
  <si>
    <t>mail@1dim-soudas.chan.sch.gr</t>
  </si>
  <si>
    <t>Σούδα</t>
  </si>
  <si>
    <t>Εθνάρχου Βενιζέλου 142</t>
  </si>
  <si>
    <t>2ο ΝΗΠΙΑΓΩΓΕΙΟ ΚΙΣΑΜΟΥ</t>
  </si>
  <si>
    <t>mail@2nip-kisam.chan.sch.gr</t>
  </si>
  <si>
    <t>ΟΜΟΓΕΝΩΝ ΑΜΕΡΙΚΗΣ</t>
  </si>
  <si>
    <t>1ο ΝΗΠΙΑΓΩΓΕΙΟ ΚΟΥΝΟΥΠΙΔΙΑΝΩΝ</t>
  </si>
  <si>
    <t>mail@1nip-akrot.chan.sch.gr</t>
  </si>
  <si>
    <t xml:space="preserve"> ΚΟΥΝΟΥΠΙΔΙΑΝΩΝ</t>
  </si>
  <si>
    <t>ΚΑΖΑΝΤΖΑΚΗ 3</t>
  </si>
  <si>
    <t>2ο ΝΗΠΙΑΓΩΓΕΙΟ ΚΟΥΝΟΥΠΙΔΙΑΝΩΝ</t>
  </si>
  <si>
    <t>mail@2nip-akrot.chan.sch.gr</t>
  </si>
  <si>
    <t>ΚΟΥΝΟΥΠΙΔΙΑΝΩΝ</t>
  </si>
  <si>
    <t>9η Πάροδος ΑΓ. ΟΝΟΥΦΡΙΟΥ</t>
  </si>
  <si>
    <t>10ο ΝΗΠΙΑΓΩΓΕΙΟ ΧΑΝΙΩΝ</t>
  </si>
  <si>
    <t>mail@10nip-chanion.chan.sch.gr</t>
  </si>
  <si>
    <t>7ο ΠΕΙΡΑΜΑΤΙΚΟ ΝΗΠΙΑΓΩΓΕΙΟ ΧΑΝΙΩΝ</t>
  </si>
  <si>
    <t>mail@7nip-chanion.chan.sch.gr</t>
  </si>
  <si>
    <t>ΝΙΚΗΦΟΡΟΥ ΦΩΚΑ 5</t>
  </si>
  <si>
    <t>2ο ΔΗΜΟΤΙΚΟ ΣΧΟΛΕΙΟ ΜΟΥΡΝΙΩΝ</t>
  </si>
  <si>
    <t>mail@2dim-mourn.chan.sch.gr</t>
  </si>
  <si>
    <t>Μουρνιές</t>
  </si>
  <si>
    <t>ΜΟΥΡΝΙΕΣ ΧΑΝΙΩΝ</t>
  </si>
  <si>
    <t>ΔΗΜΟΤΙΚΟ ΣΧΟΛΕΙΟ ΧΡΥΣΟΠΗΓΗΣ</t>
  </si>
  <si>
    <t>mail@dim-chrys.chan.sch.gr</t>
  </si>
  <si>
    <t>ΧΡΥΣΟΠΗΓΗ</t>
  </si>
  <si>
    <t>ΧΡΥΣΟΠΗΓΗΣ 144</t>
  </si>
  <si>
    <t>ΝΗΠΙΑΓΩΓΕΙΟ ΚΟΛΥΜΒΑΡΙΟΥ</t>
  </si>
  <si>
    <t>mail@nip-kolymv.chan.sch.gr</t>
  </si>
  <si>
    <t>ΚΟΛΥΜΒΑΡΙΟΥ</t>
  </si>
  <si>
    <t>ΚΟΛΥΜΒΑΡΙ</t>
  </si>
  <si>
    <t>2ο ΝΗΠΙΑΓΩΓΕΙΟ ΝΕΑΣ ΚΥΔΩΝΙΑΣ</t>
  </si>
  <si>
    <t>mail@2nip-n-kydon.chan.sch.gr</t>
  </si>
  <si>
    <t>ΕΛ. ΓΙΑΚΟΥΜΑΚΗ</t>
  </si>
  <si>
    <t>ΝΗΠΙΑΓΩΓΕΙΟ ΚΟΥΝΤΟΥΡΑΣ</t>
  </si>
  <si>
    <t>mail@nip-kount.chan.sch.gr</t>
  </si>
  <si>
    <t>ΚΟΥΝΤΟΥΡΑΣ ΣΕΛΙΝΟΥ</t>
  </si>
  <si>
    <t>ΚΟΥΝΤΟΥΡΑ</t>
  </si>
  <si>
    <t>ΔΗΜΟΤΙΚΟ ΣΧΟΛΕΙΟ ΚΑΝΤΑΝΟΥ ΧΑΝΙΩΝ</t>
  </si>
  <si>
    <t>mail@dim-kantan.chan.sch.gr</t>
  </si>
  <si>
    <t xml:space="preserve">ΚΑΝΤΑΝΟΣ </t>
  </si>
  <si>
    <t>ΚΑΝΤΑΝΟΣ</t>
  </si>
  <si>
    <t>3ο ΔΗΜΟΤΙΚΟ ΣΧΟΛΕΙΟ ΧΑΝΙΩΝ</t>
  </si>
  <si>
    <t>mail@3dim-chanion.chan.sch.gr</t>
  </si>
  <si>
    <t>ΚΟΡΑΗ 3</t>
  </si>
  <si>
    <t>ΔΗΜΟΤΙΚΟ ΣΧΟΛΕΙΟ ΒΡΥΣΩΝ</t>
  </si>
  <si>
    <t>mail@dim-vryson.chan.sch.gr</t>
  </si>
  <si>
    <t>ΒΡΥΣΕΣ</t>
  </si>
  <si>
    <t>ΝΗΠΙΑΓΩΓΕΙΟ ΓΕΩΡΓΙΟΥΠΟΛΗΣ</t>
  </si>
  <si>
    <t>mail@1nip-georg.chan.sch.gr</t>
  </si>
  <si>
    <t>ΓΕΩΡΓΙΟΥΠΟΛΗΣ</t>
  </si>
  <si>
    <t>ΓΕΩΡΓΙΟΥΠΟΛΗ ΧΑΝΙΩΝ</t>
  </si>
  <si>
    <t>8ο ΔΗΜΟΤΙΚΟ ΣΧΟΛΕΙΟ ΧΑΝΙΩΝ</t>
  </si>
  <si>
    <t>8dimchancha@sch.gr</t>
  </si>
  <si>
    <t>ΠΛΑΤΕΙΑ ΑΡΚΑΔΙΟΥ</t>
  </si>
  <si>
    <t>ΔΗΜΟΤΙΚΟ ΣΧΟΛΕΙΟ ΔΡΑΠΑΝΙΑ</t>
  </si>
  <si>
    <t>mail@dim-drapan.chan.sch.gr</t>
  </si>
  <si>
    <t>ΔΡΑΠΑΝΙΑΣ</t>
  </si>
  <si>
    <t>2ο ΔΗΜΟΤΙΚΟ ΣΧΟΛΕΙΟ ΚΙΣΑΜΟΥ</t>
  </si>
  <si>
    <t>mail@2dim-kisam.chan.sch.gr</t>
  </si>
  <si>
    <t>5ο ΔΗΜΟΤΙΚΟ ΣΧΟΛΕΙΟ ΧΑΝΙΩΝ</t>
  </si>
  <si>
    <t>mail@5dim-chanion.chan.sch.gr</t>
  </si>
  <si>
    <t>5ο ΝΗΠΙΑΓΩΓΕΙΟ ΚΙΣΑΜΟΥ</t>
  </si>
  <si>
    <t>mail@5nip-kissam.chan.sch.gr</t>
  </si>
  <si>
    <t>ΔΗΜΟΤΙΚΟ ΣΧΟΛΕΙΟ ΡΟΔΟΒΑΝΙΟΥ</t>
  </si>
  <si>
    <t>mail@dim-rodov.chan.sch.gr</t>
  </si>
  <si>
    <t>ΡΟΔΟΒΑΝΙ</t>
  </si>
  <si>
    <t>ΡΟΔΟΒΑΝΙ ΧΑΝΙΩΝ</t>
  </si>
  <si>
    <t>ΔΗΜΟΤΙΚΟ ΣΧΟΛΕΙΟ ΠΑΛΑΙΟΧΩΡΑΣ</t>
  </si>
  <si>
    <t>mail@dim-palaioch.chan.sch.gr</t>
  </si>
  <si>
    <t>ΔΗΜΟΤΙΚΟ ΣΧΟΛΕΙΟ ΚΟΥΝΤΟΥΡΑΣ</t>
  </si>
  <si>
    <t>mail@1dim-pelek.chan.sch.gr</t>
  </si>
  <si>
    <t>ΔΗΜΟΤΙΚΟ ΣΧΟΛΕΙΟ ΠΛΑΤΑΝΟΥ ΚΙΣΑΜΟΥ</t>
  </si>
  <si>
    <t>mail@dim-platan.chan.sch.gr</t>
  </si>
  <si>
    <t>ΔΗΜΟΤΙΚΟ ΣΧΟΛΕΙΟ ΑΛΙΚΙΑΝΟΥ</t>
  </si>
  <si>
    <t>mail@dim-alikian.chan.sch.gr</t>
  </si>
  <si>
    <t>ΑΛΙΚΙΑΝΟΣ</t>
  </si>
  <si>
    <t>ΑΛΙΚΙΑΝΟΣ ΧΑΝΙΩΝ</t>
  </si>
  <si>
    <t>9ο ΔΗΜΟΤΙΚΟ ΣΧΟΛΕΙΟ ΧΑΝΙΩΝ</t>
  </si>
  <si>
    <t>9dimchancha@sch.gr</t>
  </si>
  <si>
    <t>1ο ΔΗΜΟΤΙΚΟ ΣΧΟΛΕΙΟ ΧΑΝΙΩΝ</t>
  </si>
  <si>
    <t>mail@1dim-chanion.chan.sch.gr</t>
  </si>
  <si>
    <t>Χανιά,</t>
  </si>
  <si>
    <t>ΑΝΑΠΑΥΣΕΩΣ 40</t>
  </si>
  <si>
    <t>ΔΗΜΟΤΙΚΟ ΣΧΟΛΕΙΟ ΜΑΛΕΜΕ</t>
  </si>
  <si>
    <t>mail@dim-malem.chan.sch.gr</t>
  </si>
  <si>
    <t>7ο ΠΕΙΡΑΜΑΤΙΚΟ ΔΗΜΟΤΙΚΟ ΣΧΟΛΕΙΟ ΧΑΝΙΩΝ</t>
  </si>
  <si>
    <t>mail@7dim-chanion.chan.sch.gr</t>
  </si>
  <si>
    <t>ΝΙΚΗΦΟΡΟΥ ΦΩΚΑ   5</t>
  </si>
  <si>
    <t>ΔΗΜΟΤΙΚΟ ΣΧΟΛΕΙΟ ΝΕΟΥ ΧΩΡΙΟΥ</t>
  </si>
  <si>
    <t>mail@dim-n-choriou.chan.sch.gr</t>
  </si>
  <si>
    <t>ΝΕΟ ΧΩΡΙΟ</t>
  </si>
  <si>
    <t>19ο ΔΗΜΟΤΙΚΟ ΣΧΟΛΕΙΟ ΧΑΝΙΩΝ</t>
  </si>
  <si>
    <t>19dimchacha@sch.gr</t>
  </si>
  <si>
    <t>Ι. ΓΕΩΡΓΑΚΑΚΗ 10</t>
  </si>
  <si>
    <t>ΔΗΜΟΤΙΚΟ ΣΧΟΛΕΙΟ ΤΣΙΚΑΛΑΡΙΩΝ</t>
  </si>
  <si>
    <t>mail@dim-tsikal.chan.sch.gr</t>
  </si>
  <si>
    <t>ΤΣΙΚΑΛΑΡΙΑ ΧΑΝΙΩΝ</t>
  </si>
  <si>
    <t>ΤΣΙΚΑΛΑΡΙΑ ΣΟΥΔΑΣ ΧΑΝΙΩΝ</t>
  </si>
  <si>
    <t>ΔΗΜΟΤΙΚΟ ΣΧΟΛΕΙΟ ΤΑΥΡΩΝΙΤΗ</t>
  </si>
  <si>
    <t>mail@dim-tavron.chan.sch.gr</t>
  </si>
  <si>
    <t>ΕΠΙΣΚΟΠΟΥ ΕΙΡΗΝΑΙΟΥ ΓΑΛΑΝΑΚΗ 10</t>
  </si>
  <si>
    <t>16ο ΔΗΜΟΤΙΚΟ ΣΧΟΛΕΙΟ ΧΑΝΙΩΝ ΔΙΑΠΟΛΙΤΙΣΜΙΚΗΣ ΕΚΠΑΙΔΕΥΣΗΣ</t>
  </si>
  <si>
    <t>mail@16dim-diap-chanion.chan.sch.gr</t>
  </si>
  <si>
    <t>ΑΝΑΓΝΩΣΤΟΥ ΜΑΝΤΑΚΑ 111</t>
  </si>
  <si>
    <t>ΔΗΜΟΤΙΚΟ ΣΧΟΛΕΙΟ ΚΟΛΥΜΒΑΡΙΟΥ</t>
  </si>
  <si>
    <t>mail@dim-kolymv.chan.sch.gr</t>
  </si>
  <si>
    <t>ΚΟΛΥΜΒΑΡΙ ΧΑΝΙΩΝ</t>
  </si>
  <si>
    <t>15ο ΔΗΜΟΤΙΚΟ ΣΧΟΛΕΙΟ ΧΑΝΙΩΝ</t>
  </si>
  <si>
    <t>mail@15dim-chanion.chan.sch.gr</t>
  </si>
  <si>
    <t>ΔΗΜΟΤΙΚΟ ΣΧΟΛΕΙΟ ΓΕΡΑΝΙΟΥ ΧΑΝΙΩΝ</t>
  </si>
  <si>
    <t>mail@3dim-platan.chan.sch.gr</t>
  </si>
  <si>
    <t>ΔΗΜΟΤΙΚΟ ΣΧΟΛΕΙΟ ΠΑΖΙΝΟΥ</t>
  </si>
  <si>
    <t>dimpazichan@sch.gr</t>
  </si>
  <si>
    <t>ΠΑΖΙΝΟΣ ΑΚΡΩΤΗΡΙΟΥ</t>
  </si>
  <si>
    <t>ΔΗΜΟΤΙΚΟ ΣΧΟΛΕΙΟ ΣΤΕΡΝΩΝ</t>
  </si>
  <si>
    <t>mail@dim-stern.chan.sch.gr</t>
  </si>
  <si>
    <t>ΣΤΕΡΝΕΣ</t>
  </si>
  <si>
    <t>1ο ΔΗΜΟΤΙΚΟ ΣΧΟΛΕΙΟ ΚΟΥΝΟΥΠΙΔΙΑΝΩΝ</t>
  </si>
  <si>
    <t>mail@1dim-kounoup.chan.sch.gr</t>
  </si>
  <si>
    <t>ΚΟΥΝΟΥΠΙΔΙΑΝΑ</t>
  </si>
  <si>
    <t>ΑΓΙΩΝ ΠΑΝΤΩΝ</t>
  </si>
  <si>
    <t>ΔΗΜΟΤΙΚΟ ΣΧΟΛΕΙΟ ΚΑΛΥΒΩΝ</t>
  </si>
  <si>
    <t>mail@dim-kalyv.chan.sch.gr</t>
  </si>
  <si>
    <t>ΚΑΛΥΒΕΣ ΑΠΟΚΟΡΩΝΟΥ</t>
  </si>
  <si>
    <t>1ο ΔΗΜΟΤΙΚΟ ΣΧΟΛΕΙΟ ΝΕΑΣ ΚΥΔΩΝΙΑΣ «ΜΙΚΗΣ ΘΕΟΔΩΡΑΚΗΣ»</t>
  </si>
  <si>
    <t>mail@1dim-n-kydon.chan.sch.gr</t>
  </si>
  <si>
    <t>ΝΕΑ ΚΥΔΩΝΙΑ</t>
  </si>
  <si>
    <t>ΓΕΡΟΓΙΑΝΝΗΔΩΝ ΝΕΑΣ ΚΥΔΩΝΙΑΣ</t>
  </si>
  <si>
    <t>17ο ΔΗΜΟΤΙΚΟ ΣΧΟΛΕΙΟ ΧΑΝΙΩΝ</t>
  </si>
  <si>
    <t>mail@17dim-chanion.chan.sch.gr</t>
  </si>
  <si>
    <t>ΠΑΧΙΑΝΑ ΧΑΝΙΩΝ</t>
  </si>
  <si>
    <t>ΔΗΜΟΤΙΚΟ ΣΧΟΛΕΙΟ ΕΜΠΡΟΣΝΕΡΟΥ</t>
  </si>
  <si>
    <t>mail@dim-empros.chan.sch.gr</t>
  </si>
  <si>
    <t>ΕΜΠΡΟΣΝΕΡΟ</t>
  </si>
  <si>
    <t>ΕΜΠΡΟΣΝΕΡΟ ΑΠΟΚΟΡΩΝΟΥ</t>
  </si>
  <si>
    <t>ΔΗΜΟΤΙΚΟ ΣΧΟΛΕΙΟ ΒΑΡΥΠΕΤΡΟΥ</t>
  </si>
  <si>
    <t>mail@dim-varyp.chan.sch.gr</t>
  </si>
  <si>
    <t>ΒΑΡΥΠΕΤΡΟ</t>
  </si>
  <si>
    <t>ΒΑΡΥΠΕΤΡΟ ΚΥΔΩΝΙΑΣ</t>
  </si>
  <si>
    <t>12ο ΔΗΜΟΤΙΚΟ ΣΧΟΛΕΙΟ ΧΑΝΙΩΝ</t>
  </si>
  <si>
    <t>mail@12dim-chanion.chan.sch.gr</t>
  </si>
  <si>
    <t>ΔΗΜΟΤΙΚΟ ΣΧΟΛΕΙΟ ΧΩΡΑΦΑΚΙΩΝ</t>
  </si>
  <si>
    <t>mail@4dim-akrot.chan.sch.gr</t>
  </si>
  <si>
    <t>ΧΩΡΑΦΑΚΙΑ</t>
  </si>
  <si>
    <t>ΤΖΑΜΑΡΙΔΑΚΗ &amp; ΧΩΡΑΦΑ ΓΩΝΙΑ</t>
  </si>
  <si>
    <t>11ο ΔΗΜΟΤΙΚΟ ΣΧΟΛΕΙΟ ΧΑΝΙΩΝ</t>
  </si>
  <si>
    <t>11dimchacha@sch.gr</t>
  </si>
  <si>
    <t>Xανιά,</t>
  </si>
  <si>
    <t>Γ. ΣΕΪΜΕΝΗ ΦΡΟΥΔΙΑ ΧΑΛΕΠΑΣ</t>
  </si>
  <si>
    <t>14ο ΔΗΜΟΤΙΚΟ ΣΧΟΛΕΙΟ ΧΑΝΙΩΝ</t>
  </si>
  <si>
    <t>14dimcha@sch.gr</t>
  </si>
  <si>
    <t>ΟΥΕΛΙΝΓΚΤΟΝ 25</t>
  </si>
  <si>
    <t>ΔΗΜΟΤΙΚΟ ΣΧΟΛΕΙΟ ΣΚΙΝΕ - ΦΟΥΡΝΕ</t>
  </si>
  <si>
    <t>mail@dim-fourn.chan.sch.gr</t>
  </si>
  <si>
    <t xml:space="preserve">ΣΚΙΝΕΣ,  </t>
  </si>
  <si>
    <t>ΣΚΙΝΕΣ ΧΑΝΙΩΝ</t>
  </si>
  <si>
    <t>2ο ΔΗΜΟΤΙΚΟ ΣΧΟΛΕΙΟ ΚΟΥΝΟΥΠΙΔΙΑΝΩΝ</t>
  </si>
  <si>
    <t>mail@2dim-kounoup.chan.sch.gr</t>
  </si>
  <si>
    <t>Κουνουπιδιανά ,</t>
  </si>
  <si>
    <t>ΚΟΥΝΟΥΠΙΔΙΑΝΑ-ΑΓ.ΟΝΟΥΦΡΙΟΣ</t>
  </si>
  <si>
    <t>6ο ΔΗΜΟΤΙΚΟ ΣΧΟΛΕΙΟ ΧΑΝΙΩΝ</t>
  </si>
  <si>
    <t>mail@6dim-chanion.chan.sch.gr</t>
  </si>
  <si>
    <t>ΠΑΤΡ. ΙΩΑΝΝΙΚΕΙΟΥ</t>
  </si>
  <si>
    <t>ΔΗΜΟΤΙΚΟ ΣΧΟΛΕΙΟ ΠΛΑΤΑΝΙΑ ΧΑΝΙΩΝ</t>
  </si>
  <si>
    <t>mail@1dim-platan.chan.sch.gr</t>
  </si>
  <si>
    <t>ΠΛΑΤΑΝΙΑΣ</t>
  </si>
  <si>
    <t>ΠΛΑΤΑΝΙΑΣ ΧΑΝΙΩΝ</t>
  </si>
  <si>
    <t>ΔΗΜΟΤΙΚΟ ΣΧΟΛΕΙΟ ΕΛΟΥΣ</t>
  </si>
  <si>
    <t>mail@dim-elous.chan.sch.gr</t>
  </si>
  <si>
    <t>ΕΛΟΣ</t>
  </si>
  <si>
    <t>4ο ΝΗΠΙΑΓΩΓΕΙΟ ΚΟΥΝΟΥΠΙΔΙΑΝΩΝ</t>
  </si>
  <si>
    <t>mail@4nip-kounoup.chan.sch.gr</t>
  </si>
  <si>
    <t>ΠΙΘΑΡΙ</t>
  </si>
  <si>
    <t>5ο ΝΗΠΙΑΓΩΓΕΙΟ ΚΟΥΝΟΥΠΙΔΙΑΝΩΝ</t>
  </si>
  <si>
    <t>mail@5nip-kounoup.chan.sch.gr</t>
  </si>
  <si>
    <t>ΠΛΑΚΟΥΡΕΣ</t>
  </si>
  <si>
    <t>5ο ΝΗΠΙΑΓΩΓΕΙΟ ΝΕΑΣ ΚΥΔΩΝΙΑΣ</t>
  </si>
  <si>
    <t>mail@5nip-n-kydon-dar.chan.sch.gr</t>
  </si>
  <si>
    <t>ΣΦΑΚΙΩΝ-ΔΑΡΑΤΣΟ</t>
  </si>
  <si>
    <t>35ο ΝΗΠΙΑΓΩΓΕΙΟ ΧΑΝΙΩΝ</t>
  </si>
  <si>
    <t>mail@35nip-chanion.chan.sch.gr</t>
  </si>
  <si>
    <t>Μ.ΑΛΕΞΑΝΔΡΟΥ 18</t>
  </si>
  <si>
    <t>ΝΟΤΙΟΥ ΑΙΓΑΙΟΥ</t>
  </si>
  <si>
    <t>Π.Ε. ΔΩΔΕΚΑΝΗΣΟΥ</t>
  </si>
  <si>
    <t>6ο ΔΗΜΟΤΙΚΟ ΣΧΟΛΕΙΟ ΚΑΛΥΜΝΟΥ - ΜΑΝΙΑΕΙΟ</t>
  </si>
  <si>
    <t>mail@6dim-kalymn.dod.sch.gr</t>
  </si>
  <si>
    <t>ΚΑΛΥΜΝΙΩΝ</t>
  </si>
  <si>
    <t>ΚΑΛΥΜΝΟΣ</t>
  </si>
  <si>
    <t>3ο ΝΗΠΙΑΓΩΓΕΙΟ ΑΦΑΝΤΟΥ ΡΟΔΟΥ</t>
  </si>
  <si>
    <t>mail@3nip-afant.dod.sch.gr</t>
  </si>
  <si>
    <t>ΡΟΔΟΥ</t>
  </si>
  <si>
    <t>ΑΦΑΝΤΟΥ ΡΟΔΟΥ</t>
  </si>
  <si>
    <t>ΛΥΚΕΙΟ ΑΦΑΝΤΟΥ</t>
  </si>
  <si>
    <t>3ο ΝΗΠΙΑΓΩΓΕΙΟ ΡΟΔΟΣ</t>
  </si>
  <si>
    <t>mail@3nip-rodou.dod.sch.gr</t>
  </si>
  <si>
    <t>ΡΟΔΟΣ</t>
  </si>
  <si>
    <t>ΥΨΗΛΑΝΤΟΥ 42</t>
  </si>
  <si>
    <t>11ο ΔΗΜΟΤΙΚΟ ΣΧΟΛΕΙΟ ΡΟΔΟΥ</t>
  </si>
  <si>
    <t>mail@11dim-rodou.dod.sch.gr</t>
  </si>
  <si>
    <t>ΑΓ. ΙΩΑΝΝΟΥ 54</t>
  </si>
  <si>
    <t>3ο ΟΛΟΗΜΕΡΟ ΔΗΜΟΤΙΚΟ ΣΧΟΛΕΙΟ ΚΑΛΥΜΝΟΥ</t>
  </si>
  <si>
    <t>mail@3dim-kalymn.dod.sch.gr</t>
  </si>
  <si>
    <t>ΑΓΙΟΣ ΘΕΟΛΟΓΟΣ</t>
  </si>
  <si>
    <t>ΔΗΜΟΤΙΚΟ ΣΧΟΛΕΙΟ ΚΑΜΠΟΥ ΠΑΤΜΟΥ</t>
  </si>
  <si>
    <t>mail@dim-kampou.dod.sch.gr</t>
  </si>
  <si>
    <t>ΠΑΤΜΟΥ</t>
  </si>
  <si>
    <t>ΚΑΜΠΟΣ ΠΑΤΜΟΥ</t>
  </si>
  <si>
    <t>1ο ΔΗΜΟΤΙΚΟ ΣΧΟΛΕΙΟ ΡΟΔΟΣ - ΖΕΦΥΡΟΣ</t>
  </si>
  <si>
    <t>mail@1dim-rodou.dod.sch.gr</t>
  </si>
  <si>
    <t>ΜΗΤΡΟΠΟΛΕΩΣ ΚΑΙ ΧΑΤΖΗΓΕΩΡΓΙΟΥ</t>
  </si>
  <si>
    <t>16ο ΔΗΜΟΤΙΚΟ ΣΧΟΛΕΙΟ ΡΟΔΟΥ</t>
  </si>
  <si>
    <t>mail@16dim-rodou.dod.sch.gr</t>
  </si>
  <si>
    <t>ΑΝΔΡΕΑ ΜΟΣΧΟΒΗ 1</t>
  </si>
  <si>
    <t>3ο ΔΗΜΟΤΙΚΟ ΣΧΟΛΕΙΟ ΡΟΔΟΥ</t>
  </si>
  <si>
    <t>3dimrodou@sch.gr</t>
  </si>
  <si>
    <t>ΚΩΝΣΤΑΝΤΙΝΟΥ  ΠΑΛΑΙΟΛΟΓΟΥ 4</t>
  </si>
  <si>
    <t>16ο ΝΗΠΙΑΓΩΓΕΙΟ ΡΟΔΟΣ</t>
  </si>
  <si>
    <t>mail@16nip-rodou.dod.sch.gr</t>
  </si>
  <si>
    <t>7/ΘΕΣΙΟ ΔΗΜΟΤΙΚΟ ΣΧΟΛΕΙΟ ΣΚΑΛΑΣ ΠΑΤΜΟΥ</t>
  </si>
  <si>
    <t>mail@dim-skalas.dod.sch.gr</t>
  </si>
  <si>
    <t>ΣΚΑΛΑ ΠΑΤΜΟΥ</t>
  </si>
  <si>
    <t>2ο ΔΗΜΟΤΙΚΟ ΣΧΟΛΕΙΟ ΧΩΡΑΣ ΚΑΛΥΜΝΟΥ</t>
  </si>
  <si>
    <t>mail@2dim-choras.dod.sch.gr</t>
  </si>
  <si>
    <t>ΧΩΡΑ ΚΑΛΥΜΝΟΥ</t>
  </si>
  <si>
    <t>ΔΗΜΟΤΙΚΟ ΣΧΟΛΕΙΟ ΑΛΙΝΤΩΝ ΛΕΡΟΥ</t>
  </si>
  <si>
    <t>mail@dim-alint.dod.sch.gr</t>
  </si>
  <si>
    <t>ΛΕΡΟΥ</t>
  </si>
  <si>
    <t>ΛΕΡΟΣ</t>
  </si>
  <si>
    <t>ΑΛΙΝΤΑ</t>
  </si>
  <si>
    <t>17ο ΝΗΠΙΑΓΩΓΕΙΟ ΡΟΔΟΥ</t>
  </si>
  <si>
    <t>mail@17nip-rodou.dod.sch.gr</t>
  </si>
  <si>
    <t>ΦΙΛ. ΓΙΑΜΑΛΗ</t>
  </si>
  <si>
    <t>ΝΗΠΙΑΓΩΓΕΙΟ ΛΑΡΔΟΣ ΡΟΔΟΥ</t>
  </si>
  <si>
    <t>mail@nip-lardou.dod.sch.gr</t>
  </si>
  <si>
    <t>ΛΑΡΔΟΣ ΡΟΔΟΥ</t>
  </si>
  <si>
    <t>ΔΗΜΟΤΙΚΟ ΣΧΟΛΕΙΟ ΔΙΜΥΛΙΑΣ ΡΟΔΟΥ</t>
  </si>
  <si>
    <t>mail@dim-dimyl.dod.sch.gr</t>
  </si>
  <si>
    <t>ΔΙΜΥΛΙΑ ΡΟΔΟΥ</t>
  </si>
  <si>
    <t>1ο ΝΗΠΙΑΓΩΓΕΙΟ ΠΥΛΙΟΥ ΚΩ</t>
  </si>
  <si>
    <t>mail@nip-pyliou.dod.sch.gr</t>
  </si>
  <si>
    <t>ΚΩ</t>
  </si>
  <si>
    <t>ΚΩΣ</t>
  </si>
  <si>
    <t>ΠΥΛΙ</t>
  </si>
  <si>
    <t>1ο ΟΛΟΗΜΕΡΟ ΝΗΠΙΑΓΩΓΕΙΟ ΚΩ</t>
  </si>
  <si>
    <t>mail@1nip-ko.dod.sch.gr</t>
  </si>
  <si>
    <t>ΚΑΡΑΪΣΚΑΚΗ 12</t>
  </si>
  <si>
    <t>2ο ΔΗΜΟΤΙΚΟ ΣΧΟΛΕΙΟ ΠΟΛΕΩΣ ΡΟΔΟΥ</t>
  </si>
  <si>
    <t>mail@2dim-rodou.dod.sch.gr</t>
  </si>
  <si>
    <t>ΒΕΝΕΤΟΚΛΕΩΝ 33</t>
  </si>
  <si>
    <t>2ο ΔΗΜΟΤΙΚΟ ΣΧΟΛΕΙΟ ΣΥΜΗΣ</t>
  </si>
  <si>
    <t>mail@2dim-symis.dod.sch.gr</t>
  </si>
  <si>
    <t>ΣΥΜΗΣ</t>
  </si>
  <si>
    <t>ΣΥΜΗ</t>
  </si>
  <si>
    <t>ΠΛΑΤΕΙΑ ΒΟΛΟΝΑΚΗ</t>
  </si>
  <si>
    <t>14ο ΝΗΠΙΑΓΩΓΕΙΟ ΡΟΔΟΣ</t>
  </si>
  <si>
    <t>mail@14nip-rodou.dod.sch.gr</t>
  </si>
  <si>
    <t>2ο ΟΛΟΗΜΕΡΟ ΝΗΠΙΑΓΩΓΕΙΟ ΚΩ</t>
  </si>
  <si>
    <t>mail@2nip-ko.dod.sch.gr</t>
  </si>
  <si>
    <t>ΣΚΕΥΟΥ ΖΕΡΒΟΥ 19</t>
  </si>
  <si>
    <t>7ο ΔΗΜΟΤΙΚΟ ΣΧΟΛΕΙΟ ΚΩ</t>
  </si>
  <si>
    <t>mail@7dim-ko.dod.sch.gr</t>
  </si>
  <si>
    <t>ΚΟΡΑΗ 4</t>
  </si>
  <si>
    <t>6ο ΔΗΜΟΤΙΚΟ ΣΧΟΛΕΙΟ ΚΩ</t>
  </si>
  <si>
    <t>mail@6dim-ko.dod.sch.gr</t>
  </si>
  <si>
    <t>ΠΛΑΤΑΝΙ</t>
  </si>
  <si>
    <t>3ο ΝΗΠΙΑΓΩΓΕΙΟ ΚΩ</t>
  </si>
  <si>
    <t>mail@3nip-ko.dod.sch.gr</t>
  </si>
  <si>
    <t>ΚΟΡΑΗ 24</t>
  </si>
  <si>
    <t>10ο ΝΗΠΙΑΓΩΓΕΙΟ ΡΟΔΟΥ</t>
  </si>
  <si>
    <t>mail@10nip-rodou.dod.sch.gr</t>
  </si>
  <si>
    <t>Ν. ΠΑΠΑΘΑΝΑΣΗ</t>
  </si>
  <si>
    <t>5ο ΝΗΠΙΑΓΩΓΕΙΟ ΚΩ</t>
  </si>
  <si>
    <t>mail@5nip-ko.dod.sch.gr</t>
  </si>
  <si>
    <t>ΑΓΙΟΣ ΓΑΒΡΙΗΛ</t>
  </si>
  <si>
    <t>6ο ΝΗΠΙΑΓΩΓΕΙΟ ΚΩ</t>
  </si>
  <si>
    <t>mail@6nip-ko.dod.sch.gr</t>
  </si>
  <si>
    <t>ΜΥΛΟΣ-ΛΑΜΠΗ</t>
  </si>
  <si>
    <t>15ο ΝΗΠΙΑΓΩΓΕΙΟ ΡΟΔΟΥ</t>
  </si>
  <si>
    <t>mail@15nip-rodou.dod.sch.gr</t>
  </si>
  <si>
    <t>ΚΥΡΑ ΤΗΣ ΡΩ 40</t>
  </si>
  <si>
    <t>7ο ΝΗΠΙΑΓΩΓΕΙΟ ΚΩ</t>
  </si>
  <si>
    <t>mail@7nip-ko.dod.sch.gr</t>
  </si>
  <si>
    <t>ΠΛΑΤΑΝΙ ΚΩΣ</t>
  </si>
  <si>
    <t>1ο ΝΗΠΙΑΓΩΓΕΙΟ ΖΗΠΑΡΙΟΥ ΚΩ</t>
  </si>
  <si>
    <t>mail@1nip-zipar.dod.sch.gr</t>
  </si>
  <si>
    <t>ΖΗΠΑΡΙ, ΚΩΣ</t>
  </si>
  <si>
    <t>ΜΠΟΥΜΠΟΥΛΙΝΑΣ @ ΕΦΕΣΟΥ</t>
  </si>
  <si>
    <t>1ο  ΝΗΠΙΑΓΩΓΕΙΟ ΧΩΡΑΣ ΚΑΛΥΜΝΟΥ</t>
  </si>
  <si>
    <t>mail@1nip-choras.dod.sch.gr</t>
  </si>
  <si>
    <t>ΕΝΟΡΙΑ ΠΡΟΔΡΟΜΟΥ ΧΩΡΑΣ</t>
  </si>
  <si>
    <t>2ο ΝΗΠΙΑΓΩΓΕΙΟ ΖΗΠΑΡΙΟΥ ΚΩ</t>
  </si>
  <si>
    <t>mail@2nip-zipar.dod.sch.gr</t>
  </si>
  <si>
    <t>ΖΗΠΑΡΙ ΚΩ</t>
  </si>
  <si>
    <t>ΚΩΣΤΗ ΠΑΛΑΜΑ</t>
  </si>
  <si>
    <t>1ο ΝΗΠΙΑΓΩΓΕΙΟ ΑΝΤΙΜΑΧΕΙΑΣ</t>
  </si>
  <si>
    <t>mail@1nip-antim.dod.sch.gr</t>
  </si>
  <si>
    <t>ΑΝΤΙΜΑΧΕΙΑ ΚΩΣ</t>
  </si>
  <si>
    <t>2ο ΝΗΠΙΑΓΩΓΕΙΟ ΑΡΧΑΓΓΕΛΟΣ ΡΟΔΟΥ</t>
  </si>
  <si>
    <t>mail@2nip-archang.dod.sch.gr</t>
  </si>
  <si>
    <t>ΑΡΧΑΓΓΕΛΟΣ ΡΟΔΟΥ</t>
  </si>
  <si>
    <t>ΑΡΧΑΓΓΕΛΟΣ</t>
  </si>
  <si>
    <t>5ο ΔΗΜΟΤΙΚΟ ΣΧΟΛΕΙΟ ΚΩ</t>
  </si>
  <si>
    <t>mail@5dim-ko.dod.sch.gr</t>
  </si>
  <si>
    <t>ΗΡΑΚΛΗΣ ΚΩ</t>
  </si>
  <si>
    <t>ΝΗΠΙΑΓΩΓΕΙΟ ΣΚΑΛΑΣ ΠΑΤΜΟΥ</t>
  </si>
  <si>
    <t>mail@nip-skalas.dod.sch.gr</t>
  </si>
  <si>
    <t>ΣΚΑΛΑΣ ΠΑΤΜΟΥ</t>
  </si>
  <si>
    <t>2/Θ ΝΗΠΙΑΓΩΓΕΙΟ ΑΣΤΥΠΑΛΑΙΑΣ</t>
  </si>
  <si>
    <t>mail@nip-astyp.dod.sch.gr</t>
  </si>
  <si>
    <t>ΑΣΤΥΠΑΛΑΙΑΣ</t>
  </si>
  <si>
    <t>ΑΣΤΥΠΑΛΑΙΑ</t>
  </si>
  <si>
    <t>2/ΘΕΣΙΟ ΝΗΠΙΑΓΩΓΕΙΟ ΠΑΝΟΡΜΟΥ ΚΑΛΥΜΝΟΥ</t>
  </si>
  <si>
    <t>mail@nip-panorm.dod.sch.gr</t>
  </si>
  <si>
    <t>ΠΑΝΟΡΜΟΥ ΚΑΛΥΜΝΟΥ</t>
  </si>
  <si>
    <t>ΠΑΝΟΡΜΟΣ ΚΑΛΥΜΝΟΣ</t>
  </si>
  <si>
    <t>ΝΗΠΙΑΓΩΓΕΙΟ ΑΛΙΝΤΩΝ ΛΕΡΟΥ</t>
  </si>
  <si>
    <t>mail@nip-alint.dod.sch.gr</t>
  </si>
  <si>
    <t>ΑΛΙΝΤΑ ΛΕΡΟΥ</t>
  </si>
  <si>
    <t>1ο 2/Θ ΝΗΠΙΑΓΩΓΕΙΟ ΛΑΚΚΙΟΥ ΛΕΡΟΥ</t>
  </si>
  <si>
    <t>mail@nip-lakkiou.dod.sch.gr</t>
  </si>
  <si>
    <t>ΛΑΚΚΙ ΛΕΡΟΥ</t>
  </si>
  <si>
    <t>ΛΑΚΚΙ ΛΕΡΟΣ</t>
  </si>
  <si>
    <t>ΝΗΠΙΑΓΩΓΕΙΟ ΑΓΙΑΣ ΜΑΡΙΝΑΣ ΛΕΡΟΥ</t>
  </si>
  <si>
    <t>mail@nip-ag-marin.dod.sch.gr</t>
  </si>
  <si>
    <t>ΑΓΙΑ  ΜΑΡΙΝΑ  ΛΕΡΟΥ</t>
  </si>
  <si>
    <t>1ο2/Θ ΝΗΠΙΑΓΩΓΕΙΟ ΠΟΛΕΩΣ ΚΑΛΥΜΝΟΥ</t>
  </si>
  <si>
    <t>mail@1nip-kalymn.dod.sch.gr</t>
  </si>
  <si>
    <t>ΠΟΛΕΩΣ ΚΑΛΥΜΝΟΥ</t>
  </si>
  <si>
    <t>ΕΝ. ΚΑΛΑΜΙΩΤΙΣΣΑΣ ΚΑΛΥΜΝΟΣ</t>
  </si>
  <si>
    <t>2ο ΝΗΠΙΑΓΩΓΕΙΟ ΠΟΛΕΩΣ ΚΑΛΥΜΝΟΥ</t>
  </si>
  <si>
    <t>mail@2nip-kalymn.dod.sch.gr</t>
  </si>
  <si>
    <t>1ο ΝΗΠΙΑΓΩΓΕΙΟ ΚΑΡΔΑΜΑΙΝΑ ΚΩ</t>
  </si>
  <si>
    <t>mail@1nip-kardam.dod.sch.gr</t>
  </si>
  <si>
    <t>ΚΑΡΔΑΜΑΙΝΑ ΚΩ</t>
  </si>
  <si>
    <t>18ο ΝΗΠΙΑΓΩΓΕΙΟ ΡΟΔΟΣ</t>
  </si>
  <si>
    <t>mail@18nip-rodou.dod.sch.gr</t>
  </si>
  <si>
    <t>2ο ΔΗΜΟΤΙΚΟ ΣΧΟΛΕΙΟ ΚΩ</t>
  </si>
  <si>
    <t>mail@2dim-ko.dod.sch.gr</t>
  </si>
  <si>
    <t>Κ. ΚΑΝΑΡΗ 56</t>
  </si>
  <si>
    <t>21ο ΝΗΠΙΑΓΩΓΕΙΟ ΡΟΔΟΥ</t>
  </si>
  <si>
    <t>mail@21nip-rodou.dod.sch.gr</t>
  </si>
  <si>
    <t>ΒΕΡΓΙΝΑΣ</t>
  </si>
  <si>
    <t>3ο ΝΗΠΙΑΓΩΓΕΙΟ ΠΟΛΕΩΣ ΚΑΛΥΜΝΟΥ</t>
  </si>
  <si>
    <t>mail@3nip-kalymn.dod.sch.gr</t>
  </si>
  <si>
    <t>ΕΥΑΓΓΕΛΙΣΤΡΙΑ ΚΑΛΥΜΝΟΣ</t>
  </si>
  <si>
    <t>10ο ΔΗΜΟΤΙΚΟ ΣΧΟΛΕΙΟ ΡΟΔΟΥ</t>
  </si>
  <si>
    <t>mail@10dim-rodou.dod.sch.gr</t>
  </si>
  <si>
    <t>ΡΟΔΟΣ  ΠΑΛΙΑ ΠΟΛΗ</t>
  </si>
  <si>
    <t>ΚΙΣΘΙΝΙΟΥ 10</t>
  </si>
  <si>
    <t>17ο ΔΗΜΟΤΙΚΟ ΣΧΟΛΕΙΟ ΡΟΔΟΥ</t>
  </si>
  <si>
    <t>mail@17dim-rodou.dod.sch.gr</t>
  </si>
  <si>
    <t>Κ. ΒΑΡΝΑΛΗ 1</t>
  </si>
  <si>
    <t>4ο 3/θ ΝΗΠΙΑΓΩΓΕΙΟ ΠΟΛΕΩΣ ΚΑΛΥΜΝΟΥ</t>
  </si>
  <si>
    <t>mail@4nip-kalymn.dod.sch.gr</t>
  </si>
  <si>
    <t>ΑΝΑΣΤΑΣΗ ΚΑΛΥΜΝΟΥ</t>
  </si>
  <si>
    <t>5ο ΝΗΠΙΑΓΩΓΕΙΟ ΠΟΛΕΩΣ ΚΑΛΥΜΝΟΥ</t>
  </si>
  <si>
    <t>mail@5nip-kalymn.dod.sch.gr</t>
  </si>
  <si>
    <t>ΑΓΙΟΣ ΣΤΕΦΑΝΟΣ ΚΑΛΥΜΝΟΣ</t>
  </si>
  <si>
    <t>7ο ΔΗΜΟΤΙΚΟ ΣΧΟΛΕΙΟ ΠΟΛΕΩΣ ΡΟΔΟΥ</t>
  </si>
  <si>
    <t>mail@7dim-rodou.dod.sch.gr</t>
  </si>
  <si>
    <t>ΑΜΑΡΑΝΤΟΥ 47</t>
  </si>
  <si>
    <t>20ο ΝΗΠΙΑΓΩΓΕΙΟ ΡΟΔΟΣ</t>
  </si>
  <si>
    <t>mail@20nip-rodou.dod.sch.gr</t>
  </si>
  <si>
    <t>Περιοχή Βάκχος</t>
  </si>
  <si>
    <t>7ο ΝΗΠΙΑΓΩΓΕΙΟ ΠΟΛΕΩΣ ΚΑΛΥΜΝΟΥ</t>
  </si>
  <si>
    <t>mail@7nip-kalymn.dod.sch.gr</t>
  </si>
  <si>
    <t>ΓΕΦΥΡΑ ΚΑΛΥΜΝΟΣ</t>
  </si>
  <si>
    <t>7ο ΝΗΠΙΑΓΩΓΕΙΟ ΡΟΔΟΥ</t>
  </si>
  <si>
    <t>mail@7nip-rodou.dod.sch.gr</t>
  </si>
  <si>
    <t>ΧΡ. ΤΣΙΓΑΝΤΕ</t>
  </si>
  <si>
    <t>2ο ΝΗΠΙΑΓΩΓΕΙΟ ΡΟΔΟΣ - ΧΡΙΣΤΟΔΟΥΛΕΙΟ</t>
  </si>
  <si>
    <t>mail@2nip-rodou.dod.sch.gr</t>
  </si>
  <si>
    <t>ΡΗΓΑ ΦΕΡΑΙΟΥ 4</t>
  </si>
  <si>
    <t>22ο ΝΗΠΙΑΓΩΓΕΙΟ ΡΟΔΟΣ</t>
  </si>
  <si>
    <t>mail@22nip-rodou.dod.sch.gr</t>
  </si>
  <si>
    <t>ΠΛΑΤΕΙΑ Ι. ΖΙΓΔΗ</t>
  </si>
  <si>
    <t>5ο ΝΗΠΙΑΓΩΓΕΙΟ ΡΟΔΟΣ - ΒΕΝΕΤΟΚΛΕΙΟ</t>
  </si>
  <si>
    <t>mail@5nip-rodou.dod.sch.gr</t>
  </si>
  <si>
    <t>Κ. ΠΑΛΑΙΟΛΟΓΟΥ 4</t>
  </si>
  <si>
    <t>6ο ΝΗΠΙΑΓΩΓΕΙΟ ΡΟΔΟΣ</t>
  </si>
  <si>
    <t>mail@6nip-rodou.dod.sch.gr</t>
  </si>
  <si>
    <t>6ο ΔΗΜΟΤΙΚΟ ΣΧΟΛΕΙΟ ΠΟΛΕΩΣ ΡΟΔΟΥ</t>
  </si>
  <si>
    <t>mail@6dim-rodou.dod.sch.gr</t>
  </si>
  <si>
    <t>ΥΨΗΛΑΝΤΗ 42</t>
  </si>
  <si>
    <t>ΝΗΠΙΑΓΩΓΕΙΟ ΣΓΟΥΡΟΥ ΡΟΔΟΥ - ΣΓΟΥΡΟΥ</t>
  </si>
  <si>
    <t>mail@1nip-sgour.dod.sch.gr</t>
  </si>
  <si>
    <t>ΣΓΟΥΡΟΥ ΡΟΔΟΥ</t>
  </si>
  <si>
    <t>Α. ΠΑΠΑΝΑΣΤΑΣΙΟΥ 5</t>
  </si>
  <si>
    <t>ΔΗΜΟΤΙΚΟ ΣΧΟΛΕΙΟ ΠΑΝΟΡΜΟΥ</t>
  </si>
  <si>
    <t>mail@dim-panorm.dod.sch.gr</t>
  </si>
  <si>
    <t>ΠΑΝΟΡΜΟΣ</t>
  </si>
  <si>
    <t>ΠΑΝΟΡΜΟΣ ΚΑΛΥΜΝΟΥ</t>
  </si>
  <si>
    <t>14ο ΔΗΜΟΤΙΚΟ ΣΧΟΛΕΙΟ ΠΟΛΕΩΣ ΡΟΔΟΥ</t>
  </si>
  <si>
    <t>mail@14dim-rodou.dod.sch.gr</t>
  </si>
  <si>
    <t>ΠΛ. ΜΙΧΑΗΛ ΒΡΟΥΧΟΥ 5</t>
  </si>
  <si>
    <t>4ο ΔΗΜΟΤΙΚΟ ΣΧΟΛΕΙΟ ΚΩ</t>
  </si>
  <si>
    <t>mail@4dim-ko.dod.sch.gr</t>
  </si>
  <si>
    <t>ΕΘΝΙΚΗΣ ΑΝΤΙΣΤΑΣΕΩΣ 18</t>
  </si>
  <si>
    <t>5ο Δημοτικό Σχολείο Ρόδου</t>
  </si>
  <si>
    <t>mail@5dim-rodou.dod.sch.gr</t>
  </si>
  <si>
    <t>ΚΩΝΣΤΑΝΤΙΝΟΥ ΠΑΛΑΙΟΛΟΓΟΥ 4</t>
  </si>
  <si>
    <t>ΔΗΜΟΤΙΚΟ ΣΧΟΛΕΙΟ ΨΙΝΘΟΥ ΡΟΔΟΥ</t>
  </si>
  <si>
    <t>mail@dim-psinth.dod.sch.gr</t>
  </si>
  <si>
    <t>ΨΙΝΘΟΣ ΡΟΔΟΥ</t>
  </si>
  <si>
    <t>ΔΗΜΟΤΙΚΟ ΣΧΟΛΕΙΟ ΛΑΡΔΟΥ ΡΟΔΟΥ</t>
  </si>
  <si>
    <t>mail@dim-lardou.dod.sch.gr</t>
  </si>
  <si>
    <t>ΟΛΟΗΜΕΡΟ ΔΗΜΟΤΙΚΟ ΣΧΟΛΕΙΟ ΜΑΡΙΤΣΩΝ</t>
  </si>
  <si>
    <t>mail@dim-marits.dod.sch.gr</t>
  </si>
  <si>
    <t>ΜΑΡΙΤΣΑ</t>
  </si>
  <si>
    <t>ΝΗΠΙΑΓΩΓΕΙΟ ΕΜΠΩΝΑ ΡΟΔΟΥ</t>
  </si>
  <si>
    <t>mail@nip-empon.dod.sch.gr</t>
  </si>
  <si>
    <t>ΕΜΠΩΝΑΣ ΡΟΔΟΥ</t>
  </si>
  <si>
    <t>ΕΜΠΩΝΑΣ</t>
  </si>
  <si>
    <t>1ο ΔΗΜΟΤΙΚΟ ΣΧΟΛΕΙΟ ΣΓΟΥΡΟΥ - ΡΟΔΟΣ</t>
  </si>
  <si>
    <t>mail@1dim-sgour.dod.sch.gr</t>
  </si>
  <si>
    <t>ΣΓΟΥΡΟΥ</t>
  </si>
  <si>
    <t>ΑΛΕΞΑΝΔΡΟΥ ΠΑΠΑΝΑΣΤΑΣΙΟΥ  5</t>
  </si>
  <si>
    <t>2ο ΔΗΜΟΤΙΚΟ ΣΧΟΛΕΙΟ ΠΟΛΕΩΣ ΚΑΛΥΜΝΟΥ</t>
  </si>
  <si>
    <t>mail@2dim-kalymn.dod.sch.gr</t>
  </si>
  <si>
    <t>5ο ΔΗΜΟΤΙΚΟ ΣΧΟΛΕΙΟ ΚΑΛΥΜΝΟΥ</t>
  </si>
  <si>
    <t>mail@5dim-kalymn.dod.sch.gr</t>
  </si>
  <si>
    <t xml:space="preserve"> ΚΑΛΥΜΝΟΣ</t>
  </si>
  <si>
    <t>ΕΝΟΡΙΑ ΑΝΑΣΤΑΣΗΣ</t>
  </si>
  <si>
    <t>2ο ΝΗΠΙΑΓΩΓΕΙΟ ΣΥΜΗΣ</t>
  </si>
  <si>
    <t>mail@2nip-symis.dod.sch.gr</t>
  </si>
  <si>
    <t>ΔΗΜΟΤΙΚΟ ΣΧΟΛΕΙΟ ΑΓΙΑΣ ΜΑΡΙΝΑΣ ΛΕΡΟΥ</t>
  </si>
  <si>
    <t>mail@dim-ag-marin-lerou.dod.sch.gr</t>
  </si>
  <si>
    <t>ΑΓΙΑ ΜΑΡΙΝΑ ΛΕΡΟΥ</t>
  </si>
  <si>
    <t>1ο ΔΗΜΟΤΙΚΟ ΣΧΟΛΕΙΟ ΧΩΡΑΣ ΚΑΛΥΜΝΟΥ</t>
  </si>
  <si>
    <t>1dimchoras@sch.gr</t>
  </si>
  <si>
    <t>1ο ΟΛΟΗΜΕΡΟ 10/Θ ΔΗΜΟΤΙΚΟ ΣΧΟΛΕΙΟ ΚΑΛΥΜΝΟΥ</t>
  </si>
  <si>
    <t>mail@1dim-kalymn.dod.sch.gr</t>
  </si>
  <si>
    <t>1o ΠΟΛΕΩΣ ΚΑΛΥΜΝΟΥ</t>
  </si>
  <si>
    <t>ΕΝΟΡΙΑ ΚΑΛΑΜΙΩΤΙΣΣΑΣ</t>
  </si>
  <si>
    <t>ΟΛΟΗΜΕΡΟ ΔΗΜΟΤΙΚΟ ΣΧΟΛΕΙΟ ΓΕΝΝΑΔΙ ΡΟΔΟΥ</t>
  </si>
  <si>
    <t>mail@dim-gennad.dod.sch.gr</t>
  </si>
  <si>
    <t>ΓΕΝΝΑΔΙ ΡΟΔΟΥ</t>
  </si>
  <si>
    <t>ΔΗΜΟΤΙΚΟ ΣΧΟΛΕΙΟ ΜΑΣΑΡΩΝ  ΡΟΔΟΥ</t>
  </si>
  <si>
    <t>mail@dim-masar.dod.sch.gr</t>
  </si>
  <si>
    <t>ΜΑΣΑΡΗ ΡΟΔΟΥ</t>
  </si>
  <si>
    <t>2ο 4/θ ΝΗΠΙΑΓΩΓΕΙΟ ΙΑΛΥΣΟΥ - ΠΕΡΔΙΚΑΚΕΙΟ</t>
  </si>
  <si>
    <t>mail@2nip-ialys.dod.sch.gr</t>
  </si>
  <si>
    <t>ΙΑΛΥΣΟΣ</t>
  </si>
  <si>
    <t>1ο ΝΗΠΙΑΓΩΓΕΙΟ ΙΑΛΥΣΟΥ</t>
  </si>
  <si>
    <t>mail@1nip-ialys.dod.sch.gr</t>
  </si>
  <si>
    <t>1ο ΝΗΠΙΑΓΩΓΕΙΟ ΚΕΦΑΛΟΥ ΚΩ</t>
  </si>
  <si>
    <t>mail@1nip-kefal.dod.sch.gr</t>
  </si>
  <si>
    <t>ΚΕΦΑΛΟΣ ΚΩ</t>
  </si>
  <si>
    <t>3ο ΔΗΜΟΤΙΚΟ ΣΧΟΛΕΙΟ ΑΦΑΝΤΟΥ ΡΟΔΟΥ</t>
  </si>
  <si>
    <t>3dimafant@sch.gr</t>
  </si>
  <si>
    <t>ΠΛΑΤΕΙΑ ΕΛΕΥΘΕΡΙΑΣ ΑΦΑΝΤΟΥ</t>
  </si>
  <si>
    <t>ΔΗΜΟΤΙΚΟ ΣΧΟΛΕΙΟ ΑΣΤΥΠΑΛΑΙΑΣ</t>
  </si>
  <si>
    <t>mail@1dim-astyp.dod.sch.gr</t>
  </si>
  <si>
    <t>Αστυπάλαια</t>
  </si>
  <si>
    <t>Πέρα Γιαλός</t>
  </si>
  <si>
    <t>ΔΗΜΟΤΙΚΟ ΣΧΟΛΕΙΟ ΛΑΚΚΙΟΥ ΛΕΡΟΥ</t>
  </si>
  <si>
    <t>mail@dim-lakkiou.dod.sch.gr</t>
  </si>
  <si>
    <t>1ο ΔΗΜΟΤΙΚΟ ΣΧΟΛΕΙΟ ΚΩ    ΑΝΑΣΤΑΣΙΟΣ ΚΑΡΑΝΑΣΤΑΣΗΣ</t>
  </si>
  <si>
    <t>mail@1dim-ko.dod.sch.gr</t>
  </si>
  <si>
    <t>ΚΑΚΟ ΠΡΙΝΑΡΙ</t>
  </si>
  <si>
    <t>ΟΛΟΗΜΕΡΟ ΔΗΜΟΤΙΚΟ ΣΧΟΛΕΙΟ ΛΕΙΨΩΝ - ΕΞΑΘΕΣΙΟ ΔΗΜΟΤΙΚΟ ΣΧΟΛΕΙΟ</t>
  </si>
  <si>
    <t>mail@dim-leips.dod.sch.gr</t>
  </si>
  <si>
    <t>ΛΕΙΨΩΝ</t>
  </si>
  <si>
    <t>ΛΕΙΨΟΙ</t>
  </si>
  <si>
    <t>ΔΗΜΟΤΙΚΟ ΣΧΟΛΕΙΟ ΛΙΝΔΟΥ</t>
  </si>
  <si>
    <t>mail@dim-lindou.dod.sch.gr</t>
  </si>
  <si>
    <t>ΛΙΝΔΟΣ ΡΟΔΟΥ</t>
  </si>
  <si>
    <t>3ο 6/θ ΔΗΜΟΤΙΚΟ ΣΧΟΛΕΙΟ ΚΩ</t>
  </si>
  <si>
    <t>mail@3dim-ko.dod.sch.gr</t>
  </si>
  <si>
    <t>Κως</t>
  </si>
  <si>
    <t>ΕΘΝΙΚΗΣ ΑΝΤΙΣΤΑΣΗΣ 51</t>
  </si>
  <si>
    <t>ΝΗΠΙΑΓΩΓΕΙΟ ΠΑΡΑΔΕΙΣΙΟΥ ΡΟΔΟΥ</t>
  </si>
  <si>
    <t>mail@nip-parad.dod.sch.gr</t>
  </si>
  <si>
    <t>ΠΑΡΑΔΕΙΣΙ ΡΟΔΟΥ</t>
  </si>
  <si>
    <t>Γ. ΠΑΠΑΝΔΡΕΟΥ 1</t>
  </si>
  <si>
    <t>ΝΗΠΙΑΓΩΓΕΙΟ ΜΑΡΙΤΣΩΝ</t>
  </si>
  <si>
    <t>mail@nip-marits.dod.sch.gr</t>
  </si>
  <si>
    <t>ΜΑΡΙΤΣΑ ΡΟΔΟΥ</t>
  </si>
  <si>
    <t>3ο ΝΗΠΙΑΓΩΓΕΙΟ ΑΡΧΑΓΓΕΛΟΣ ΡΟΔΟΥ - ΑΓΙΟΣ ΣΤΕΦΑΝΟΣ</t>
  </si>
  <si>
    <t>mail@3nip-archang.dod.sch.gr</t>
  </si>
  <si>
    <t>8ο ΔΗΜΟΤΙΚΟ ΣΧΟΛΕΙΟ ΡΟΔΟΥ</t>
  </si>
  <si>
    <t>mail@8dim-rodou.dod.sch.gr</t>
  </si>
  <si>
    <t>ΠΑΙΔΑΓΩΓΙΚΗ ΑΚΑΔΗΜΙΑ, ΠΛΑΤΕΙΑ Ι. ΖΙΓΔΗ,</t>
  </si>
  <si>
    <t>3ο ΔΗΜΟΤΙΚΟ ΣΧΟΛΕΙΟ ΙΑΛΥΣΟΣ ΡΟΔΟΥ</t>
  </si>
  <si>
    <t>mail@3dim-ialys.dod.sch.gr</t>
  </si>
  <si>
    <t>ΙΑΛΥΣΟΣ ΡΟΔΟΥ</t>
  </si>
  <si>
    <t>ΣΩΤΗΡΟΣ ΚΑΙ ΑΠ. ΡΟΔΙΟΥ</t>
  </si>
  <si>
    <t>1ο ΝΗΠΙΑΓΩΓΕΙΟ ΑΦΑΝΤΟΥ ΡΟΔΟΥ</t>
  </si>
  <si>
    <t>mail@1nip-afant.dod.sch.gr</t>
  </si>
  <si>
    <t>ΚΑΠΟΔΙΣΤΡΙΟΥ 1</t>
  </si>
  <si>
    <t>ΔΗΜΟΤΙΚΟ ΣΧΟΛΕΙΟ ΚΑΣΟΥ</t>
  </si>
  <si>
    <t>mail@dim-kasou.dod.sch.gr</t>
  </si>
  <si>
    <t>ΗΡΩΙΚΗΣ ΝΗΣΟΥ ΚΑΣΟΥ</t>
  </si>
  <si>
    <t>ΗΡΩΙΚΗ ΝΗΣΟΣ ΚΑΣΟΣ</t>
  </si>
  <si>
    <t>ΔΗΜΟΤΙΚΟ ΣΧΟΛΕΙΟ ΠΑΡΑΔΕΙΣΙΟΥ ΡΟΔΟΥ</t>
  </si>
  <si>
    <t>mail@dim-parad.dod.sch.gr</t>
  </si>
  <si>
    <t>Παραδείσι</t>
  </si>
  <si>
    <t>ΔΗΜΟΤΙΚΟ ΣΧΟΛΕΙΟ ΖΗΠΑΡΙΟΥ ΚΩ "ΙΑΚΩΒΟΣ ΖΑΡΡΑΦΤΗΣ"</t>
  </si>
  <si>
    <t>mail@dim-zipar.dod.sch.gr</t>
  </si>
  <si>
    <t>ΖΗΠΑΡΙ</t>
  </si>
  <si>
    <t>1ο ΔΗΜΟΤΙΚΟ ΣΧΟΛΕΙΟ ΚΡΕΜΑΣΤΗΣ ΡΟΔΟΥ</t>
  </si>
  <si>
    <t>mail@dim-kremast.dod.sch.gr</t>
  </si>
  <si>
    <t>ΚΡΕΜΑΣΤΗ ΡΟΔΟΥ</t>
  </si>
  <si>
    <t>ΠΑΡΟΔΟΣ ΙΚΑΡΩΝ 1</t>
  </si>
  <si>
    <t>1ο ΔΗΜΟΤΙΚΟ ΣΧΟΛΕΙΟ ΚΑΛΥΘΙΩΝ ΡΟΔΟΥ</t>
  </si>
  <si>
    <t>mail@dim-kalyth.dod.sch.gr</t>
  </si>
  <si>
    <t>Καλυθιές Ρόδου</t>
  </si>
  <si>
    <t>Καλυθιές</t>
  </si>
  <si>
    <t>ΟΛΟΗΜΕΡΟ ΔΗΜΟΤΙΚΟ ΣΧΟΛΕΙΟ ΚΑΛΑΒΑΡΔΑ ΡΟΔΟΥ</t>
  </si>
  <si>
    <t>mail@dim-kalav.dod.sch.gr</t>
  </si>
  <si>
    <t>ΚΑΛΑΒΑΡΔΑ ΡΟΔΟΥ</t>
  </si>
  <si>
    <t>12ο ΔΗΜΟΤΙΚΟ ΣΧΟΛΕΙΟ ΡΟΔΟΥ</t>
  </si>
  <si>
    <t>mail@12dim-rodou.dod.sch.gr</t>
  </si>
  <si>
    <t>15ο ΔΗΜΟΤΙΚΟ ΣΧΟΛΕΙΟ ΡΟΔΟΥ</t>
  </si>
  <si>
    <t>mail@15dim-rodou.dod.sch.gr</t>
  </si>
  <si>
    <t>ΚΩΝΣΤΑΝΤΙΝΟΥΠΟΛΕΩΣ 38</t>
  </si>
  <si>
    <t>18ο ΔΗΜΟΤΙΚΟ ΣΧΟΛΕΙΟ ΡΟΔΟΥ</t>
  </si>
  <si>
    <t>mail@18dim-rodou.dod.sch.gr</t>
  </si>
  <si>
    <t>Φ. ΓΙΑΜΑΛΗ</t>
  </si>
  <si>
    <t>ΔΗΜΟΤΙΚΟ ΣΧΟΛΕΙΟ ΚΟΣΚΙΝΟΥ ΡΟΔΟΥ</t>
  </si>
  <si>
    <t>mail@dim-koskin.dod.sch.gr</t>
  </si>
  <si>
    <t>ΚΟΣΚΙΝΟΥ ΡΟΔΟΣ</t>
  </si>
  <si>
    <t>1ο ΔΗΜΟΤΙΚΟ ΣΧΟΛΕΙΟ ΚΑΡΠΑΘΟΥ - ΠΟΤΙΔΑΙΟΝ</t>
  </si>
  <si>
    <t>mail@1dim-karpath.dod.sch.gr</t>
  </si>
  <si>
    <t>ΚΑΡΠΑΘΟΥ</t>
  </si>
  <si>
    <t>ΚΑΡΠΑΘΟΣ</t>
  </si>
  <si>
    <t>ΠΗΓΑΔΙΑ, ΚΑΡΠΑΘΟΣ, ΔΩΔΕΚΑΝΗΣΑ</t>
  </si>
  <si>
    <t>1ο ΔΗΜΟΤΙΚΟ ΣΧΟΛΕΙΟ ΣΥΜΗΣ</t>
  </si>
  <si>
    <t>mail@1dim-symis.dod.sch.gr</t>
  </si>
  <si>
    <t>2ο ΔΗΜΟΤΙΚΟ ΣΧΟΛΕΙΟ ΚΑΡΠΑΘΟΥ</t>
  </si>
  <si>
    <t>mail@2dim-karpath.dod.sch.gr</t>
  </si>
  <si>
    <t>ΠΗΓΑΔΙΑ ΚΑΡΠΑΘΟΣ</t>
  </si>
  <si>
    <t>ΔΗΜΟΤΙΚΟ ΣΧΟΛΕΙΟ ΑΠΕΡΙΟΥ ΚΑΡΠΑΘΟΥ</t>
  </si>
  <si>
    <t>mail@dim-aperiou.dod.sch.gr</t>
  </si>
  <si>
    <t>ΑΠΕΡΙ ΚΑΡΠΑΘΟΥ</t>
  </si>
  <si>
    <t>ΔΗΜΟΤΙΚΟ ΣΧΟΛΕΙΟ ΑΠΟΛΛΩΝΑ ΡΟΔΟΥ</t>
  </si>
  <si>
    <t>mail@dim-apoll.dod.sch.gr</t>
  </si>
  <si>
    <t>ΑΠΟΛΛΩΝΑ ΡΟΔΟΥ</t>
  </si>
  <si>
    <t>1ο ΔΗΜΟΤΙΚΟ ΣΧΟΛΕΙΟ ΑΡΧΑΓΓΕΛΟΥ ΡΟΔΟΥ</t>
  </si>
  <si>
    <t>mail@1dim-archang.dod.sch.gr</t>
  </si>
  <si>
    <t>2ο ΔΗΜΟΤΙΚΟ ΣΧΟΛΕΙΟ ΑΡΧΑΓΓΕΛΟΥ ΡΟΔΟΥ</t>
  </si>
  <si>
    <t>mail@2dim-archang.dod.sch.gr</t>
  </si>
  <si>
    <t>ΑΡΧΑΓΓΕΛΟΣ ΡΟΔΟΥ - ΛΙΒΑΔΑ</t>
  </si>
  <si>
    <t>2ο ΔΗΜΟΤΙΚΟ ΣΧΟΛΕΙΟ ΑΦΑΝΤΟΥ ΡΟΔΟΥ</t>
  </si>
  <si>
    <t>mail@2dim-afant.dod.sch.gr</t>
  </si>
  <si>
    <t>ΠΛΑΤΕΙΑ ΕΛΕΥΘΕΡΙΑΣ - ΑΦΑΝΤΟΥ</t>
  </si>
  <si>
    <t>1ο ΔΗΜΟΤΙΚΟ ΣΧΟΛΕΙΟ ΑΦΑΝΤΟΥ ΡΟΔΟΥ</t>
  </si>
  <si>
    <t>mail@1dim-afant.dod.sch.gr</t>
  </si>
  <si>
    <t>ΕΙΚΟΣΤΗΣ ΠΕΜΠΤΗΣ ΜΑΡΤΙΟΥ 83</t>
  </si>
  <si>
    <t>ΔΗΜΟΤΙΚΟ ΣΧΟΛΕΙΟ ΕΜΠΩΝΑ ΡΟΔΟΥ</t>
  </si>
  <si>
    <t>mail@dim-empon.dod.sch.gr</t>
  </si>
  <si>
    <t>1ο ΔΗΜΟΤΙΚΟ ΣΧΟΛΕΙΟ ΙΑΛΥΣΟΣ ΡΟΔΟΥ</t>
  </si>
  <si>
    <t>mail@1dim-ialys.dod.sch.gr</t>
  </si>
  <si>
    <t>ΠΑΡΟΔΟΣ ΔΗΜΟΚΡΑΤΙΑΣ- ΑΓ. ΙΩΑΝΝΟΥ</t>
  </si>
  <si>
    <t>ΔΗΜΟΤΙΚΟ ΣΧΟΛΕΙΟ ΠΥΛΙΟΥ ΚΩ</t>
  </si>
  <si>
    <t>mail@1dim-pyliou.dod.sch.gr</t>
  </si>
  <si>
    <t>ΠΥΛΙ ΚΩ</t>
  </si>
  <si>
    <t>2ο ΔΗΜΟΤΙΚΟ ΣΧΟΛΕΙΟ ΙΑΛΥΣΟΥ</t>
  </si>
  <si>
    <t>mail@2dim-ialys.dod.sch.gr</t>
  </si>
  <si>
    <t>Ιαλυσός</t>
  </si>
  <si>
    <t>ΦΙΛΕΡΗΜΟΥ 8</t>
  </si>
  <si>
    <t>ΔΗΜΟΤΙΚΟ ΣΧΟΛΕΙΟ ΚΑΡΔΑΜΑΙΝΑΣ- ΚΩ</t>
  </si>
  <si>
    <t>mail@dim-kardam.dod.sch.gr</t>
  </si>
  <si>
    <t>ΚΑΡΔΑΜΑΙΝΑ</t>
  </si>
  <si>
    <t>ΔΗΜΟΤΙΚΟ ΣΧΟΛΕΙΟ ΑΝΤΙΜΑΧΕΙΑΣ ΚΩ</t>
  </si>
  <si>
    <t>mail@dim-antim.dod.sch.gr</t>
  </si>
  <si>
    <t>ΑΝΤΙΜΑΧΕΙΑ</t>
  </si>
  <si>
    <t>ΔΗΜΟΤΙΚΟ ΣΧΟΛΕΙΟ  ΝΙΣΥΡΟΥ-ΟΜΗΡΕΙΟΝ</t>
  </si>
  <si>
    <t>mail@dim-mandr.dod.sch.gr</t>
  </si>
  <si>
    <t>ΝΙΣΥΡΟΥ</t>
  </si>
  <si>
    <t>ΜΑΝΔΡΑΚΙ ΝΙΣΥΡΟΥ</t>
  </si>
  <si>
    <t>ΔΗΜΟΤΙΚΟ ΣΧΟΛΕΙΟ ΚΕΦΑΛΟΥ ΚΩ</t>
  </si>
  <si>
    <t>mail@dim-kefal.dod.sch.gr</t>
  </si>
  <si>
    <t>4ο ΝΗΠΙΑΓΩΓΕΙΟ ΚΩ</t>
  </si>
  <si>
    <t>mail@4nip-ko.dod.sch.gr</t>
  </si>
  <si>
    <t>Αθηνάς,Τ.Θ. 430</t>
  </si>
  <si>
    <t>ΔΗΜΟΤΙΚΟ ΣΧΟΛΕΙΟ ΣΟΡΩΝΗΣ</t>
  </si>
  <si>
    <t>mail@dim-soron.dod.sch.gr</t>
  </si>
  <si>
    <t>ΣΟΡΩΝΗ ΡΟΔΟΥ</t>
  </si>
  <si>
    <t>ΔΗΜΟΤΙΚΟ ΣΧΟΛΕΙΟ ΤΗΛΟΣ</t>
  </si>
  <si>
    <t>mail@dim-tilou.dod.sch.gr</t>
  </si>
  <si>
    <t>ΤΗΛΟΥ</t>
  </si>
  <si>
    <t>ΤΗΛΟΣ</t>
  </si>
  <si>
    <t>8ο ΝΗΠΙΑΓΩΓΕΙΟ ΚΩ</t>
  </si>
  <si>
    <t>mail@8nip-ko.dod.sch.gr</t>
  </si>
  <si>
    <t>Μαρμαρωτό</t>
  </si>
  <si>
    <t>1ο ΝΗΠΙΑΓΩΓΕΙΟ ΑΡΧΑΓΓΕΛΟΥ ΡΟΔΟΥ</t>
  </si>
  <si>
    <t>mail@1nip-archang.dod.sch.gr</t>
  </si>
  <si>
    <t>2ο 2/ΘΕΣΙΟ ΝΗΠΙΑΓΩΓΕΙΟ ΑΦΑΝΤΟΥ ΡΟΔΟΣ</t>
  </si>
  <si>
    <t>mail@2nip-afant.dod.sch.gr</t>
  </si>
  <si>
    <t>ΑΦΑΝΤΟΥ ΡΟΔΟΣ</t>
  </si>
  <si>
    <t>Καποδιστρίου 1</t>
  </si>
  <si>
    <t>ΝΗΠΙΑΓΩΓΕΙΟ ΓΕΝΝΑΔΙΟΥ</t>
  </si>
  <si>
    <t>mail@nip-gennad.dod.sch.gr</t>
  </si>
  <si>
    <t>ΓΕΝΝΑΔΙ</t>
  </si>
  <si>
    <t>3ο ΝΗΠΙΑΓΩΓΕΙΟ ΙΑΛΥΣΟΣ - ΓΙΑΛΛΟΥΣΕΙΟ</t>
  </si>
  <si>
    <t>mail@3nip-ialys.dod.sch.gr</t>
  </si>
  <si>
    <t>ΑΠ. ΡΟΔΙΟΥ &amp; ΣΩΤΗΡΟΣ ΙΞΙΑ ΡΟΔΟΥ</t>
  </si>
  <si>
    <t>1ο ΝΗΠΙΑΓΩΓΕΙΟ ΚΑΛΥΘΙΩΝ-ΣΤΕΦΑΝΕΙΟ-ΠΕΡΙΒΛΕΠΤΟ</t>
  </si>
  <si>
    <t>mail@1nip-kalyth.dod.sch.gr</t>
  </si>
  <si>
    <t>ΚΑΛΥΘΙΕΣ</t>
  </si>
  <si>
    <t>ΚΑΛΥΘΙΕΣ ΡΟΔΟΥ</t>
  </si>
  <si>
    <t>3ο ΝΗΠΙΑΓΩΓΕΙΟ ΚΑΛΥΘΙΕΣ ΡΟΔΟΥ</t>
  </si>
  <si>
    <t>mail@3nip-kalyth.dod.sch.gr</t>
  </si>
  <si>
    <t>1ο ΝΗΠΙΑΓΩΓΕΙΟ ΚΑΡΠΑΘΟΥ</t>
  </si>
  <si>
    <t>mail@1nip-karpath.dod.sch.gr</t>
  </si>
  <si>
    <t>ΠΗΓΑΔΙΑ ΚΑΡΠΑΘΟΥ</t>
  </si>
  <si>
    <t>2ο ΝΗΠΙΑΓΩΓΕΙΟ ΚΑΡΠΑΘΟΣ</t>
  </si>
  <si>
    <t>mail@2nip-karpath.dod.sch.gr</t>
  </si>
  <si>
    <t>1ο ΝΗΠΙΑΓΩΓΕΙΟ ΚΟΣΚΙΝΟΥ ΡΟΔΟΣ - ΠΡΩΤΟ ΝΗΠΙΑΓΩΓΕΙΟ ΚΟΣΚΙΝΟΥ</t>
  </si>
  <si>
    <t>mail@1nip-koskin.dod.sch.gr</t>
  </si>
  <si>
    <t>ΓΕΩΡΓΙΟΥ ΜΠΑΡΔΟΥ</t>
  </si>
  <si>
    <t>2ο ,2/Θ ΝΗΠΙΑΓΩΓΕΙΟ ΚΟΣΚΙΝΟΥ ΡΟΔΟΣ - ΔΕΥΤΕΡΟ ΔΙΘΕΣΙΟ ΝΗΠΙΑΓΩΓΕΙΟ ΚΟΣΚΙΝΟΥ</t>
  </si>
  <si>
    <t>mail@2nip-koskin.dod.sch.gr</t>
  </si>
  <si>
    <t>1ο ΝΗΠΙΑΓΩΓΕΙΟ ΚΡΕΜΑΣΤΗ ΡΟΔΟΥ</t>
  </si>
  <si>
    <t>mail@1nip-kremast.dod.sch.gr</t>
  </si>
  <si>
    <t>ΑΘΑΝΑΣΙΟΥ ΔΙΑΚΟΥ 5</t>
  </si>
  <si>
    <t>2ο ΝΗΠΙΑΓΩΓΕΙΟ ΚΡΕΜΑΣΤΗΣ ΡΟΔΟΥ</t>
  </si>
  <si>
    <t>mail@2nip-kremast.dod.sch.gr</t>
  </si>
  <si>
    <t>3/Θ  ΝΗΠΙΑΓΩΓΕΙΟ ΠΑΣΤΙΔΑΣ  ΡΟΔΟΥ</t>
  </si>
  <si>
    <t>mail@nip-pastid.dod.sch.gr</t>
  </si>
  <si>
    <t>ΠΑΣΤΙΔΑ ΡΟΔΟΥ</t>
  </si>
  <si>
    <t>ΔΗΜΟΤΙΚΟ ΣΧΟΛΕΙΟ ΠΑΣΤΙΔΑΣ</t>
  </si>
  <si>
    <t>mail@dim-pastid.dod.sch.gr</t>
  </si>
  <si>
    <t>ΠΑΣΤΙΔΑ</t>
  </si>
  <si>
    <t>2ο ΠΕΙΡΑΜΑΤΙΚΟ ΔΗΜΟΤΙΚΟ ΣΧΟΛΕΙΟ ΠΟΛΕΩΣ ΡΟΔΟΥ(ΕΝΤΑΓΜΕΝΟ ΣΤΟ ΠΑΝΕΠΙΣΤΗΜΙΟ)</t>
  </si>
  <si>
    <t>mail@2dim-peir-rodou.dod.sch.gr</t>
  </si>
  <si>
    <t>ΜΕΓΑΡΟ ΑΚΑΔΗΜΙΑΣ</t>
  </si>
  <si>
    <t>1ο  ΠΕΙΡΑΜΑΤΙΚΟ ΔΗΜΟΤΙΚΟ ΣΧΟΛΕΙΟ ΡΟΔΟΥ(ΕΝΤΑΓΜΕΝΟ ΣΤΟ ΠΑΝΕΠΙΣΤΗΜΙΟ ΑΙΓΑΙΟΥ) ΠΑΝΑΓΙΩΤΗΣ ΡΟΔΙΟΣ</t>
  </si>
  <si>
    <t>mail@1dim-peir-rodou.dod.sch.gr</t>
  </si>
  <si>
    <t>ΠΛ. Ι. ΖΙΓΔΗ</t>
  </si>
  <si>
    <t>13ο ΔΗΜΟΤΙΚΟ ΣΧΟΛΕΙΟ ΠΟΛΕΩΣ ΡΟΔΟΥ</t>
  </si>
  <si>
    <t>13dimrodou@sch.gr</t>
  </si>
  <si>
    <t>ΑΤΤΑΒΥΡΟΥ &amp; ΑΚΡΑΜΙΤΟΥ</t>
  </si>
  <si>
    <t>2ο ΔΗΜΟΤΙΚΟ ΣΧΟΛΕΙΟ ΚΑΛΥΘΙΩΝ ΡΟΔΟΥ</t>
  </si>
  <si>
    <t>mail@2dim-kalyth.dod.sch.gr</t>
  </si>
  <si>
    <t>ΚΑΛΥΘΙEΣ ΡΟΔΟΥ</t>
  </si>
  <si>
    <t>Θ. ΚΟΛΟΚΟΤΡΩΝΗ 21</t>
  </si>
  <si>
    <t>2ο ΔΗΜΟΤΙΚΟ ΣΧΟΛΕΙΟ ΚΡΕΜΑΣΤΗΣ</t>
  </si>
  <si>
    <t>mail@2dim-kremast.dod.sch.gr</t>
  </si>
  <si>
    <t>ΚΡΕΜΑΣΤΗ</t>
  </si>
  <si>
    <t>Λεωφ. Ελευθερίας 176, Κρεμαστή</t>
  </si>
  <si>
    <t>Π.Ε. ΚΥΚΛΑΔΩΝ</t>
  </si>
  <si>
    <t>ΔΗΜΟΤΙΚΟ ΣΧΟΛΕΙΟ ΑΡΧΙΛΟΧΟΥ-ΜΑΡΠΗΣΣΑΣ ΠΑΡΟΥ</t>
  </si>
  <si>
    <t>mail@dim-archil.kyk.sch.gr</t>
  </si>
  <si>
    <t>ΠΑΡΟΥ</t>
  </si>
  <si>
    <t>ΜΑΡΠΗΣΣΑ ΠΑΡΟΥ</t>
  </si>
  <si>
    <t>1ο  ΝΗΠΙΑΓΩΓΕΙΟ ΧΩΡΑΣ ΝΑΞΟΥ</t>
  </si>
  <si>
    <t>mail@1nip-naxou.kyk.sch.gr</t>
  </si>
  <si>
    <t>ΝΑΞΟΥ &amp; ΜΙΚΡΩΝ ΚΥΚΛΑΔΩΝ</t>
  </si>
  <si>
    <t>ΧΩΡΑΣ ΝΑΞΟΥ</t>
  </si>
  <si>
    <t>ΕΛΕΥΘΕΡΙΟΥ ΒΕΝΙΖΕΛΟΥ</t>
  </si>
  <si>
    <t>ΝΗΠΙΑΓΩΓΕΙΟ ΑΓΙΟΥ ΑΡΣΕΝΙΟΥ ΝΑΞΟΥ</t>
  </si>
  <si>
    <t>mail@nip-ag-arsen.kyk.sch.gr</t>
  </si>
  <si>
    <t>ΑΓΙΟΥ ΑΡΣΕΝΙΟΥ ΝΑΞΟΥ</t>
  </si>
  <si>
    <t>ΑΓΙΟΣ ΑΡΣΕΝΙΟΣ ΝΑΞΟΥ</t>
  </si>
  <si>
    <t>2ο  ΔΗΜΟΤΙΚΟ ΣΧΟΛΕΙΟ ΕΡΜΟΥΠΟΛΗΣ</t>
  </si>
  <si>
    <t>mail@2dim-ermoup.kyk.sch.gr</t>
  </si>
  <si>
    <t>ΣΥΡΟΥ-ΕΡΜΟΥΠΟΛΗΣ</t>
  </si>
  <si>
    <t>ΕΡΜΟΥΠΟΛΗ</t>
  </si>
  <si>
    <t>ΠΛΑΤΕΙΑ ΜΟΥΣΤΑΚΛΗ</t>
  </si>
  <si>
    <t>10/θ ΔΗΜΟΤΙΚΟ ΣΧΟΛΕΙΟ ΜΗΛΟΥ</t>
  </si>
  <si>
    <t>mail@dim-milou.kyk.sch.gr</t>
  </si>
  <si>
    <t>ΜΗΛΟΥ</t>
  </si>
  <si>
    <t>ΜΗΛΟΣ</t>
  </si>
  <si>
    <t>ΤΡΙΟΒΑΣΑΛΟΣ</t>
  </si>
  <si>
    <t>1ο ΝΗΠΙΑΓΩΓΕΙΟ ΤΗΝΟΥ</t>
  </si>
  <si>
    <t>mail@1nip-tinou.kyk.sch.gr</t>
  </si>
  <si>
    <t>ΤΗΝΟΥ</t>
  </si>
  <si>
    <t>ΣΠΙΤΑΛΙΑ</t>
  </si>
  <si>
    <t>2ο 2/Θ ΝΗΠΙΑΓΩΓΕΙΟ ΤΗΝΟΥ</t>
  </si>
  <si>
    <t>mail@2nip-tinou.kyk.sch.gr</t>
  </si>
  <si>
    <t>6/Θ ΔΗΜΟΤΙΚΟ ΣΧΟΛΕΙΟ ΙΟΥΛΙΔΑΣ ΚΕΑΣ</t>
  </si>
  <si>
    <t>mail@dim-ioulid.kyk.sch.gr</t>
  </si>
  <si>
    <t>ΚΕΑΣ</t>
  </si>
  <si>
    <t>ΙΟΥΛΙΔΑ ΚΕΑΣ</t>
  </si>
  <si>
    <t>ΑΓΙΟΣ ΑΡΤΕΜΙΟΣ ΙΟΥΛΙΔΑΣ ΚΕΑΣ</t>
  </si>
  <si>
    <t>ΔΗΜΟΤΙΚΟ ΣΧΟΛΕΙΟ ΚΟΡΗΣΣΙΑΣ ΚΕΑΣ</t>
  </si>
  <si>
    <t>mail@dim-koriss.kyk.sch.gr</t>
  </si>
  <si>
    <t>ΚΟΡΗΣΣΙΑΣ ΚΕΑΣ</t>
  </si>
  <si>
    <t>ΚΟΡΗΣΣΙΑ ΚΕΑΣ</t>
  </si>
  <si>
    <t>ΔΗΜΟΤΙΚΟ ΣΧΟΛΕΙΟ ΕΠΙΣΚΟΠΗΣ ΓΩΝΙΑΣ ΘΗΡΑΣ</t>
  </si>
  <si>
    <t>mail@dim-episk.kyk.sch.gr</t>
  </si>
  <si>
    <t>ΘΗΡΑΣ</t>
  </si>
  <si>
    <t>ΕΠΙΣΚΟΠΗ ΘΗΡΑΣ</t>
  </si>
  <si>
    <t>ΚΑΜΑΡΙ</t>
  </si>
  <si>
    <t>1ο ΔΗΜΟΤΙΚΟ ΣΧΟΛΕΙΟ ΕΡΜΟΥΠΟΛΗΣ ΣΥΡΟΥ</t>
  </si>
  <si>
    <t>mail@1dim-ermoup.kyk.sch.gr</t>
  </si>
  <si>
    <t>ΚΑΡΑΟΛΗ-ΔΗΜΗΤΡΙΟΥ 16</t>
  </si>
  <si>
    <t>ΔΗΜΟΤΙΚΟ ΣΧΟΛΕΙΟ ΓΑΥΡΙΟΥ ΑΝΔΡΟΥ</t>
  </si>
  <si>
    <t>mail@dim-gavriou.kyk.sch.gr</t>
  </si>
  <si>
    <t>ΑΝΔΡΟΥ</t>
  </si>
  <si>
    <t>ΓΑΥΡΙΟ ΑΝΔΡΟΥ</t>
  </si>
  <si>
    <t>-</t>
  </si>
  <si>
    <t>ΔΗΜΟΤΙΚΟ ΣΧΟΛΕΙΟ  ΧΩΡΑΣ ΑΝΔΡΟΥ-ΘΕΟΦΙΛΟΣ ΚΑΪΡΗΣ</t>
  </si>
  <si>
    <t>mail@dim-choras.kyk.sch.gr</t>
  </si>
  <si>
    <t>Άνδρος</t>
  </si>
  <si>
    <t>ΝΗΠΙΑΓΩΓΕΙΟ ΜΑΡΑΘΙΟΥ ΜΥΚΟΝΟΥ</t>
  </si>
  <si>
    <t>mail@nip-marath.kyk.sch.gr</t>
  </si>
  <si>
    <t>ΜΥΚΟΝΟΥ</t>
  </si>
  <si>
    <t>ΜΑΡΑΘΙ ΜΥΚΟΝΟΥ</t>
  </si>
  <si>
    <t>ΜΥΚΟΝΟΣ   Τ.Θ. 6014</t>
  </si>
  <si>
    <t>ΔΗΜΟΤΙΚΟ ΣΧΟΛΕΙΟ ΒΙΒΛΟΥ ΝΑΞΟΥ</t>
  </si>
  <si>
    <t>mail@dim-vivlou.kyk.sch.gr</t>
  </si>
  <si>
    <t>Βίβλος Νάξου,</t>
  </si>
  <si>
    <t>ΒΙΒΛΟΣ ΝΑΞΟΥ</t>
  </si>
  <si>
    <t>1ο ΔΗΜΟΤΙΚΟ ΣΧΟΛΕΙΟ ΜΥΚΟΝΟΥ</t>
  </si>
  <si>
    <t>mail@1dim-mykon.kyk.sch.gr</t>
  </si>
  <si>
    <t>Μύκονος</t>
  </si>
  <si>
    <t>Λάκκα - Χώρα</t>
  </si>
  <si>
    <t>ΔΗΜΟΤΙΚΟ ΣΧΟΛΕΙΟ ΜΕΣΑΡΙΑΣ ΑΝΔΡΟΥ</t>
  </si>
  <si>
    <t>mail@dim-mesar.kyk.sch.gr</t>
  </si>
  <si>
    <t>ΜΕΣΑΡΙΑΣ ΑΝΔΡΟΥ</t>
  </si>
  <si>
    <t>ΜΕΣΑΡΙΑ-ΑΝΔΡΟΣ</t>
  </si>
  <si>
    <t>ΔΗΜΟΤΙΚΟ ΣΧΟΛΕΙΟ ΣΙΦΝΟΥ</t>
  </si>
  <si>
    <t>mail@dim-sifnou.kyk.sch.gr</t>
  </si>
  <si>
    <t>ΣΙΦΝΟΥ</t>
  </si>
  <si>
    <t>ΣΙΦΝΟΣ</t>
  </si>
  <si>
    <t>ΦΥΡΟΓΙΑ ΣΙΦΝΟΥ</t>
  </si>
  <si>
    <t>5ο ΔΗΜΟΤΙΚΟ ΣΧΟΛΕΙΟ ΕΡΜΟΥΠΟΛΗΣ ΣΥΡΟΥ</t>
  </si>
  <si>
    <t>mail@5dim-ermoup.kyk.sch.gr</t>
  </si>
  <si>
    <t>ΗΡΩΩΝ ΠΟΛΥΤΕΧΝΕΙΟΥ 52</t>
  </si>
  <si>
    <t>2ο ΔΗΜΟΤΙΚΟ ΣΧΟΛΕΙΟ ΜΥΚΟΝΟΥ</t>
  </si>
  <si>
    <t>2dim-mykon@sch.gr</t>
  </si>
  <si>
    <t xml:space="preserve"> ΜΥΚΟΝΟΣ</t>
  </si>
  <si>
    <t>ΠΕΤΕΙΝΑΡΟΣ</t>
  </si>
  <si>
    <t>4ο ΠΕΙΡΑΜΑΤΙΚΟ ΔΗΜΟΤΙΚΟ ΣΧΟΛΕΙΟ ΕΡΜΟΥΠΟΛΗΣ ΣΥΡΟΥ</t>
  </si>
  <si>
    <t>4dimermo@sch.gr</t>
  </si>
  <si>
    <t>ΝΙΚΗΦ. ΜΑΝΔΗΛΑΡΑ 22</t>
  </si>
  <si>
    <t>ΔΗΜΟΤΙΚΟ ΣΧΟΛΕΙΟ ΠΟΣΕΙΔΩΝΙΑΣ ΣΥΡΟΥ</t>
  </si>
  <si>
    <t>mail@dim-poseidon.kyk.sch.gr</t>
  </si>
  <si>
    <t>ΠΟΣΕΙΔΩΝΙΑ ΣΥΡΟΥ</t>
  </si>
  <si>
    <t>ΔΗΜΟΤΙΚΟ ΣΧΟΛΕΙΟ ΒΑΡΗΣ ΜΑΝΝΑ ΣΥΡΟΥ</t>
  </si>
  <si>
    <t>mail@dim-varis.kyk.sch.gr</t>
  </si>
  <si>
    <t>ΣΥΡΟΣ</t>
  </si>
  <si>
    <t>ΝΗΠΙΑΓΩΓΕΙΟ ΠΥΡΓΟΥ ΘΗΡΑΣ</t>
  </si>
  <si>
    <t>mail@nip-pyrgou-thiras.kyk.sch.gr</t>
  </si>
  <si>
    <t>ΠΥΡΓΟΥ ΘΗΡΑΣ</t>
  </si>
  <si>
    <t>ΠΥΡΓΟΣ ΘΗΡΑΣ</t>
  </si>
  <si>
    <t>ΝΗΠΙΑΓΩΓΕΙΟ ΑΔΑΜΑΝΤΑ ΜΗΛΟΥ</t>
  </si>
  <si>
    <t>mail@nip-adamant.kyk.sch.gr</t>
  </si>
  <si>
    <t>ΑΔΑΜΑΝΤΑΣ  ΜΗΛΟΣ</t>
  </si>
  <si>
    <t>ΑΔΑΜΑΝΤΑΣ ΜΗΛΟΥ</t>
  </si>
  <si>
    <t>ΝΗΠΙΑΓΩΓΕΙΟ ΒΑΡΗΣ ΣΥΡΟΥ</t>
  </si>
  <si>
    <t>mail@nip-varis.kyk.sch.gr</t>
  </si>
  <si>
    <t>ΠΛΑΤΕΙΑ ΠΑΝΑΧΡΑΝΤΟΥ,ΒΑΡΗ-ΣΥΡΟΣ</t>
  </si>
  <si>
    <t>ΔΗΜΟΤΙΚΟ ΣΧΟΛΕΙΟ ΙΟΥ</t>
  </si>
  <si>
    <t>mail@dim-iou.kyk.sch.gr</t>
  </si>
  <si>
    <t>ΙΗΤΩΝ</t>
  </si>
  <si>
    <t>ΙΟΣ</t>
  </si>
  <si>
    <t>ΧΩΡΑ ΙΟΥ</t>
  </si>
  <si>
    <t>ΝΗΠΙΑΓΩΓΕΙΟ ΣΕΡΙΦΟΥ</t>
  </si>
  <si>
    <t>mail@nip-serif.kyk.sch.gr</t>
  </si>
  <si>
    <t>ΣΕΡΙΦΟΥ</t>
  </si>
  <si>
    <t xml:space="preserve"> ΠΑΝΑΓΙΑ ΣΕΡΙΦΟΥ</t>
  </si>
  <si>
    <t>ΠΑΝΑΓΙΑ ΣΕΡΙΦΟΥ</t>
  </si>
  <si>
    <t>ΝΗΠΙΑΓΩΓΕΙΟ ΚΟΡΗΣΣΙΑΣ ΚΕΑΣ</t>
  </si>
  <si>
    <t>mail@nip-koriss.kyk.sch.gr</t>
  </si>
  <si>
    <t>ΔΗΜΟΤΙΚΟ ΣΧΟΛΕΙΟ ΑΝΩ ΣΥΡΟΥ</t>
  </si>
  <si>
    <t>dimansyr@sch.gr</t>
  </si>
  <si>
    <t>Άνω Σύρος</t>
  </si>
  <si>
    <t>Α.Κάργα 5</t>
  </si>
  <si>
    <t>1ο ΝΗΠΙΑΓΩΓΕΙΟ ΧΩΡΑΣ ΜΥΚΟΝΟΥ</t>
  </si>
  <si>
    <t>mail@1nip-mykon.kyk.sch.gr</t>
  </si>
  <si>
    <t>ΧΩΡΑΣ ΜΥΚΟΝΟΥ</t>
  </si>
  <si>
    <t>ΛΑΚΚΑ-ΧΩΡΑ ΜΥΚΟΝΟΥ</t>
  </si>
  <si>
    <t>3ο ΝΗΠΙΑΓΩΓΕΙΟ ΤΗΝΟΥ</t>
  </si>
  <si>
    <t>mail@3nip-tinou.kyk.sch.gr</t>
  </si>
  <si>
    <t>ΑΓ. ΒΑΡΒΑΡΑ</t>
  </si>
  <si>
    <t>ΔΗΜΟΤΙΚΟ ΣΧΟΛΕΙΟ ΑΔΑΜΑΝΤΑ ΜΗΛΟΥ</t>
  </si>
  <si>
    <t>mail@dim-adamant.kyk.sch.gr</t>
  </si>
  <si>
    <t>ΑΔΑΜΑΝΤΑΣ ΜΗΛΟΥ ΚΥΚΛΑΔΕΣ</t>
  </si>
  <si>
    <t>ΔΗΜΟΤΙΚΟ ΣΧΟΛΕΙΟ ΜΕΣΑΡΙΑΣ-ΒΟΘΩΝΑ ΘΗΡΑΣ</t>
  </si>
  <si>
    <t>mail@dim-messar.kyk.sch.gr</t>
  </si>
  <si>
    <t>ΜΕΣΑΡΙΑ</t>
  </si>
  <si>
    <t>ΜΕΣΑΡΙΑ ΘΗΡΑΣ</t>
  </si>
  <si>
    <t>3ο  ΔΗΜΟΤΙΚΟ ΣΧΟΛΕΙΟ ΧΩΡΑΣ ΝΑΞΟΥ</t>
  </si>
  <si>
    <t>mail@3dim-naxou.kyk.sch.gr</t>
  </si>
  <si>
    <t>ΝΑΞΟΣ</t>
  </si>
  <si>
    <t>ΔΗΜΟΤΙΚΟ ΣΧΟΛΕΙΟ ΕΞΩΜΒΟΥΡΓΟΥ ΤΗΝΟΥ</t>
  </si>
  <si>
    <t>mail@dim-exomv.kyk.sch.gr</t>
  </si>
  <si>
    <t>ΛΟΥΤΡΑ - ΤΗΝΟΣ</t>
  </si>
  <si>
    <t>ΛΟΥΤΡΑ ΤΗΝΟΥ</t>
  </si>
  <si>
    <t>ΔΗΜΟΤΙΚΟ ΣΧΟΛΕΙΟ ΦΙΛΩΤΙΟΥ ΝΑΞΟΥ</t>
  </si>
  <si>
    <t>mail@dim-filot.kyk.sch.gr</t>
  </si>
  <si>
    <t xml:space="preserve">ΦΙΛΩΤΙ </t>
  </si>
  <si>
    <t>ΦΙΛΩΤΙ-ΝΑΞΟΥ</t>
  </si>
  <si>
    <t>ΔΗΜΟΤΙΚΟ ΣΧΟΛΕΙΟ ΑΓΙΟΥ ΑΡΣΕΝΙΟΥ ΝΑΞΟΥ</t>
  </si>
  <si>
    <t>mail@dim-ag-arsen.kyk.sch.gr</t>
  </si>
  <si>
    <t>ΑΓ. ΑΡΣΕΝΙΟΣ ΝΑΞΟΥ</t>
  </si>
  <si>
    <t>6/Θ ΔΗΜΟΤΙΚΟ ΣΧΟΛΕΙΟ ΟΡΜΟΥ ΚΟΡΘΙΟΥ ΑΝΔΡΟΥ</t>
  </si>
  <si>
    <t>mail@dim-korth.kyk.sch.gr</t>
  </si>
  <si>
    <t>ΟΡΜΟΣ ΚΟΡΘΙΟΥ</t>
  </si>
  <si>
    <t>6ο ΔΗΜΟΤΙΚΟ ΣΧΟΛΕΙΟ ΕΡΜΟΥΠΟΛΗΣ</t>
  </si>
  <si>
    <t>mail@6dim-ermoup.kyk.sch.gr</t>
  </si>
  <si>
    <t>ΕΡΜΟΥΠΟΛΗ,</t>
  </si>
  <si>
    <t>ΕΥΓΕΝΙΑΣ ΛΑΖΑΡΟΓΛΟΥ ΚΑΙ ΤΑΞΙΑΡΧΩΝ,</t>
  </si>
  <si>
    <t>ΝΗΠΙΑΓΩΓΕΙΟ ΔΡΥΟΠΙΔΑΣ ΚΥΘΝΟΥ</t>
  </si>
  <si>
    <t>mail@nip-dryop.kyk.sch.gr</t>
  </si>
  <si>
    <t>ΚΥΘΝΟΥ</t>
  </si>
  <si>
    <t>ΔΡΥΟΠΙΔΑΣ ΚΥΘΝΟΥ</t>
  </si>
  <si>
    <t>ΔΡΥΟΠΙΔΑ - ΚΥΘΝΟΣ</t>
  </si>
  <si>
    <t>ΔΗΜΟΤΙΚΟ ΣΧΟΛΕΙΟ ΝΑΟΥΣΑΣ ΠΑΡΟΥ</t>
  </si>
  <si>
    <t>mail@dim-naous.kyk.sch.gr</t>
  </si>
  <si>
    <t>ΝΑΟΥΣΑ ΠΑΡΟΥ</t>
  </si>
  <si>
    <t>ΝΗΠΙΑΓΩΓΕΙΟ ΑΓΚΑΙΡΙΑΣ ΠΑΡΟΥ</t>
  </si>
  <si>
    <t>mail@nip-agkair.kyk.sch.gr</t>
  </si>
  <si>
    <t>ΑΓΚΑΙΡΙΑΣ ΠΑΡΟΥ</t>
  </si>
  <si>
    <t>ΑΛΥΚΗ ΠΑΡΟΥ</t>
  </si>
  <si>
    <t>ΝΗΠΙΑΓΩΓΕΙΟ ΕΠΙΣΚΟΠΗΣ ΘΗΡΑΣ</t>
  </si>
  <si>
    <t>mail@nip-episk.kyk.sch.gr</t>
  </si>
  <si>
    <t>ΕΠΙΣΚΟΠΗΣ ΘΗΡΑΣ</t>
  </si>
  <si>
    <t>ΕΠΙΣΚΟΠΗ ΘΗΡΑΣ - ΚΑΜΑΡΙ ΘΗΡΑΣ</t>
  </si>
  <si>
    <t>1ο ΔΗΜΟΤΙΚΟ ΣΧΟΛΕΙΟ ΤΗΝΟΥ</t>
  </si>
  <si>
    <t>mail@1dim-tinou.kyk.sch.gr</t>
  </si>
  <si>
    <t>ΤΗΝΟΣ</t>
  </si>
  <si>
    <t>Ι.ΜΕΤΑΞΑ 2</t>
  </si>
  <si>
    <t>2ο ΔΗΜΟΤΙΚΟ ΣΧΟΛΕΙΟ ΤΗΝΟΥ</t>
  </si>
  <si>
    <t>mail@2dim-tinou.kyk.sch.gr</t>
  </si>
  <si>
    <t>Τήνος</t>
  </si>
  <si>
    <t>ΜΑΡΤΙΝΟΥ ΝΟΡΔΕΣΤΡΟΜ 4</t>
  </si>
  <si>
    <t>ΔΗΜΟΤΙΚΟ ΣΧΟΛΕΙΟ ΑΓΚΑΙΡΙΑΣ ΠΑΡΟΥ</t>
  </si>
  <si>
    <t>mail@dim-agkair.kyk.sch.gr</t>
  </si>
  <si>
    <t>ΑΓΚΑΙΡΙΑ ΠΑΡΟΥ</t>
  </si>
  <si>
    <t>ΔΗΜΟΤΙΚΟ ΣΧΟΛΕΙΟ ΚΑΡΤΕΡΑΔΟΥ ΘΗΡΑΣ</t>
  </si>
  <si>
    <t>mail@dim-karter.kyk.sch.gr</t>
  </si>
  <si>
    <t>Καρτεράδος</t>
  </si>
  <si>
    <t>ΚΑΡΤΕΡΑΔΟΣ ΘΗΡΑΣ</t>
  </si>
  <si>
    <t>ΔΗΜΟΤΙΚΟ ΣΧΟΛΕΙΟ ΕΜΠΟΡΕΙΟΥ ΘΗΡΑΣ</t>
  </si>
  <si>
    <t>mail@dim-empor.kyk.sch.gr</t>
  </si>
  <si>
    <t>ΕΜΠΟΡΕΙΟ ΘΗΡΑΣ</t>
  </si>
  <si>
    <t>1ο ΝΗΠΙΑΓΩΓΕΙΟ ΠΑΡΟΙΚΙΑΣ ΠΑΡΟΥ</t>
  </si>
  <si>
    <t>mail@1nip-paroik.kyk.sch.gr</t>
  </si>
  <si>
    <t>ΠΑΡΟΙΚΙΑ ΠΑΡΟΣ</t>
  </si>
  <si>
    <t>ΠΡΟΔΡΟΜΟΥ 1 ΛΙΑΡΟΚΟΠΙ ΠΑΡΟΙΚΙΑΣ ΠΑΡΟΥ</t>
  </si>
  <si>
    <t>1ο ΔΗΜΟΤΙΚΟ ΣΧΟΛΕΙΟ ΠΑΡΟΙΚΙΑΣ ΠΑΡΟΥ</t>
  </si>
  <si>
    <t>mail@1dim-paroik.kyk.sch.gr</t>
  </si>
  <si>
    <t>ΠΑΡΟΙΚΙΑ ΠΑΡΟΥ</t>
  </si>
  <si>
    <t>ΔΗΜΟΤΙΚΟ ΣΧΟΛΕΙΟ ΣΕΡΙΦΟΥ</t>
  </si>
  <si>
    <t>mail@dim-serif.kyk.sch.gr</t>
  </si>
  <si>
    <t xml:space="preserve"> ΣΕΡΙΦΟΣ</t>
  </si>
  <si>
    <t>ΚΑΤΩ  ΧΩΡΑ</t>
  </si>
  <si>
    <t>1/Θ ΝΗΠΙΑΓΩΓΕΙΟ ΑΝΤΙΠΑΡΟΥ</t>
  </si>
  <si>
    <t>mail@nip-antip.kyk.sch.gr</t>
  </si>
  <si>
    <t>ΑΝΤΙΠΑΡΟΥ</t>
  </si>
  <si>
    <t>ΑΝΤΙΠΑΡΟΣ</t>
  </si>
  <si>
    <t>2ο ΝΗΠΙΑΓΩΓΕΙΟ ΠΑΡΟΙΚΙΑΣ ΠΑΡΟΥ</t>
  </si>
  <si>
    <t>mail@2nip-paroik.kyk.sch.gr</t>
  </si>
  <si>
    <t>ΠΑΡΟΙΚΙΑΣ ΠΑΡΟΥ</t>
  </si>
  <si>
    <t>ΔΗΜΟΤΙΚΟ ΣΧΟΛΕΙΟ ΑΝΩ ΜΕΡΑΣ ΜΥΚΟΝΟΥ</t>
  </si>
  <si>
    <t>mail@dim-an-meras-mykon.kyk.sch.gr</t>
  </si>
  <si>
    <t>ΑΝΩ ΜΕΡΑ ΜΥΚΟΝΟΥ</t>
  </si>
  <si>
    <t>ΝΗΠΙΑΓΩΓΕΙΟ ΝΑΟΥΣΑΣ ΠΑΡΟΥ</t>
  </si>
  <si>
    <t>mail@nip-naous.kyk.sch.gr</t>
  </si>
  <si>
    <t>ΝΑΟΥΣΑΣ ΠΑΡΟΥ</t>
  </si>
  <si>
    <t>ΔΗΜΟΤΙΚΟ ΣΧΟΛΕΙΟ ΑΝΤΙΠΑΡΟΥ</t>
  </si>
  <si>
    <t>mail@dim-antip.kyk.sch.gr</t>
  </si>
  <si>
    <t>ΝΗΠΙΑΓΩΓΕΙΟ ΚΑΡΤΕΡΑΔΟΥ ΘΗΡΑΣ</t>
  </si>
  <si>
    <t>mail@nip-karter.kyk.sch.gr</t>
  </si>
  <si>
    <t>ΚΑΡΤΕΡΑΔΟΥ ΘΗΡΑΣ</t>
  </si>
  <si>
    <t>ΔΗΜΟΤΙΚΟ ΣΧΟΛΕΙΟ ΟΙΑΣ ΘΗΡΑΣ</t>
  </si>
  <si>
    <t>mail@dim-oias.kyk.sch.gr</t>
  </si>
  <si>
    <t>ΟΙΑ ΘΗΡΑΣ</t>
  </si>
  <si>
    <t>ΟΙΑ  ΘΗΡΑΣ</t>
  </si>
  <si>
    <t>ΝΗΠΙΑΓΩΓΕΙΟ ΦΟΙΝΙΚΑ ΣΥΡΟΥ</t>
  </si>
  <si>
    <t>mail@nip-foinik.kyk.sch.gr</t>
  </si>
  <si>
    <t>ΦΟΙΝΙΚΑΣ ΣΥΡΟΥ</t>
  </si>
  <si>
    <t>ΧΑΛΕΠΑ</t>
  </si>
  <si>
    <t>2ο ΔΗΜΟΤΙΚΟ ΣΧΟΛΕΙΟ ΠΑΡΟΙΚΙΑΣ ΠΑΡΟΥ</t>
  </si>
  <si>
    <t>mail@2dim-paroik.kyk.sch.gr</t>
  </si>
  <si>
    <t>ΠΑΡΟΙΚΙΑ</t>
  </si>
  <si>
    <t>ΝΗΠΙΑΓΩΓΕΙΟ ΓΑΥΡΙΟΥ ΑΝΔΡΟΥ</t>
  </si>
  <si>
    <t>mail@nip-gavriou.kyk.sch.gr</t>
  </si>
  <si>
    <t>ΓΑΥΡΙΟ</t>
  </si>
  <si>
    <t>2ο  ΝΗΠΙΑΓΩΓΕΙΟ ΜΥΚΟΝΟΥ</t>
  </si>
  <si>
    <t>mail@2nip-mykon.kyk.sch.gr</t>
  </si>
  <si>
    <t>ΜΥΚΟΝΟΣ</t>
  </si>
  <si>
    <t>Τ.Θ.6014</t>
  </si>
  <si>
    <t>2ο ΝΗΠΙΑΓΩΓΕΙΟ ΧΩΡΑΣ ΝΑΞΟΥ</t>
  </si>
  <si>
    <t>mail@2nip-naxou.kyk.sch.gr</t>
  </si>
  <si>
    <t>ΝΑΞΟΥ</t>
  </si>
  <si>
    <t>ΧΩΡΑ ΝΑΞΟΥ</t>
  </si>
  <si>
    <t>3ο 2/Θ ΝΗΠΙΑΓΩΓΕΙΟ ΧΩΡΑΣ ΝΑΞΟΥ</t>
  </si>
  <si>
    <t>mail@3nip-naxou.kyk.sch.gr</t>
  </si>
  <si>
    <t>ΝΗΠΙΑΓΩΓΕΙΟ ΑΝΔΡΟΥ ΧΩΡΑΣ</t>
  </si>
  <si>
    <t>mail@nip-androu.kyk.sch.gr</t>
  </si>
  <si>
    <t>ΑΝΔΡΟΥ ΧΩΡΑΣ</t>
  </si>
  <si>
    <t>ΧΩΡΑ ΑΝΔΡΟΥ</t>
  </si>
  <si>
    <t>7/θ ΔΗΜΟΤΙΚΟ ΣΧΟΛΕΙΟ ΚΥΘΝΟΥ</t>
  </si>
  <si>
    <t>mail@dim-kythn.kyk.sch.gr</t>
  </si>
  <si>
    <t>Κύθνος</t>
  </si>
  <si>
    <t>ΧΩΡΑ ΚΥΘΝΟΥ</t>
  </si>
  <si>
    <t>2ο  ΝΗΠΙΑΓΩΓΕΙΟ ΕΜΠΟΡΕΙΟΥ ΘΗΡΑΣ</t>
  </si>
  <si>
    <t>mail@2nip-empor.kyk.sch.gr</t>
  </si>
  <si>
    <t>ΕΜΠΟΡΕΙΟΥ</t>
  </si>
  <si>
    <t>ΠΕΡΙΣΣΑ ΘΗΡΑΣ</t>
  </si>
  <si>
    <t>1ο ΔΗΜΟΤΙΚΟ ΣΧΟΛΕΙΟ ΝΑΞΟΥ</t>
  </si>
  <si>
    <t>mail@1dim-naxou.kyk.sch.gr</t>
  </si>
  <si>
    <t>ΚΟΝΤΟΛΕΟΝΤΟΣ</t>
  </si>
  <si>
    <t>1ο ΝΗΠΙΑΓΩΓΕΙΟ ΦΗΡΩΝ ΘΗΡΑΣ</t>
  </si>
  <si>
    <t>mail@1nip-firon.kyk.sch.gr</t>
  </si>
  <si>
    <t>ΦΗΡΩΝ ΘΗΡΑΣ</t>
  </si>
  <si>
    <t>ΦΗΡΑ ΘΗΡΑΣ</t>
  </si>
  <si>
    <t>ΝΗΠΙΑΓΩΓΕΙΟ ΜΕΣΑΡΙΑΣ ΘΗΡΑΣ</t>
  </si>
  <si>
    <t>mail@nip-messar.kyk.sch.gr</t>
  </si>
  <si>
    <t>ΜΕΣΑΡΙΑΣ ΘΗΡΑΣ</t>
  </si>
  <si>
    <t>3ο ΔΗΜΟΤΙΚΟ ΣΧΟΛΕΙΟ ΕΡΜΟΥΠΟΛΗΣ ΣΥΡΟΥ</t>
  </si>
  <si>
    <t>mail@3dim-ermoup.kyk.sch.gr</t>
  </si>
  <si>
    <t>ΕΡΜΟΥΠΟΛΗ ΣΥΡΟΥ</t>
  </si>
  <si>
    <t>ΣΩΚΡΑΤΟΥΣ 2</t>
  </si>
  <si>
    <t>ΔΗΜΟΤΙΚΟ ΣΧΟΛΕΙΟ ΦΗΡΩΝ</t>
  </si>
  <si>
    <t>mail@dim-firon.kyk.sch.gr</t>
  </si>
  <si>
    <t>2/θ ΝΗΠΙΑΓΩΓΕΙΟ ΙΟΥ</t>
  </si>
  <si>
    <t>mail@1nip-iou.kyk.sch.gr</t>
  </si>
  <si>
    <t>ΙΟΥ</t>
  </si>
  <si>
    <t>2ο ΝΗΠΙΑΓΩΓΕΙΟ ΕΡΜΟΥΠΟΛΗΣ ΣΥΡΟΥ</t>
  </si>
  <si>
    <t>mail@2nip-ermoup.kyk.sch.gr</t>
  </si>
  <si>
    <t>Ερμούπολη Σύρου</t>
  </si>
  <si>
    <t>Ευγενίας Λαζάρογλου &amp; Ταξιαρχών</t>
  </si>
  <si>
    <t>1ο ΝΗΠΙΑΓΩΓΕΙΟ ΕΡΜΟΥΠΟΛΗΣ ΣΥΡΟΥ</t>
  </si>
  <si>
    <t>mail@1nip-ermoup.kyk.sch.gr</t>
  </si>
  <si>
    <t>2ο ΔΗΜΟΤΙΚΟ ΣΧΟΛΕΙΟ ΧΩΡΑΣ ΝΑΞΟΥ</t>
  </si>
  <si>
    <t>mail@2dim-naxou.kyk.sch.gr</t>
  </si>
  <si>
    <t>ΔΗΜΟΤΙΚΟ ΣΧΟΛΕΙΟ ΑΙΓΙΑΛΗΣ-ΘΟΛΑΡΙΩΝ ΑΜΟΡΓΟΥ</t>
  </si>
  <si>
    <t>mail@dim-aigial.kyk.sch.gr</t>
  </si>
  <si>
    <t>ΑΜΟΡΓΟΥ</t>
  </si>
  <si>
    <t>ΑΙΓΙΑΛΗ  ΑΜΟΡΓΟΥ</t>
  </si>
  <si>
    <t>ΑΙΓΙΑΛΗ</t>
  </si>
  <si>
    <t>ΝΗΠΙΑΓΩΓΕΙΟ ΑΠΟΛΛΩΝΙΑΣ ΣΙΦΝΟΥ</t>
  </si>
  <si>
    <t>mail@nip-apollon.kyk.sch.gr</t>
  </si>
  <si>
    <t>ΑΠΟΛΛΩΝΙΑΣ</t>
  </si>
  <si>
    <t>ΑΠΟΛΛΩΝΙΑ ΣΙΦΝΟΥ</t>
  </si>
  <si>
    <t>2/ΘΕΣΙΟ ΝΗΠΙΑΓΩΓΕΙΟ ΦΙΛΩΤΙΟΥ ΝΑΞΟΥ</t>
  </si>
  <si>
    <t>mail@nip-filot.kyk.sch.gr</t>
  </si>
  <si>
    <t>ΦΙΛΩΤΙ ΝΑΞΟΥ</t>
  </si>
  <si>
    <t>ΔΗΜΟΤΙΚΟ ΣΧΟΛΕΙΟ ΜΠΑΤΣΙΟΥ ΑΝΔΡΟΥ</t>
  </si>
  <si>
    <t>mail@dim-mpatsiou.kyk.sch.gr</t>
  </si>
  <si>
    <t>ΜΠΑΤΣΙ ΑΝΔΡΟΣ</t>
  </si>
  <si>
    <t>ΜΠΑΤΣΙ-ΑΝΔΡΟΣ</t>
  </si>
  <si>
    <t>ΔΗΜΟΤΙΚΟ ΣΧΟΛΕΙΟ ΑΚΡΩΤΗΡΙΟΥ ΘΗΡΑΣ</t>
  </si>
  <si>
    <t>mail@dim-akrot.kyk.sch.gr</t>
  </si>
  <si>
    <t>Ακρωτήρι Θήρας</t>
  </si>
  <si>
    <t>ΑΚΡΩΤΗΡΙ ΘΗΡΑΣ</t>
  </si>
  <si>
    <t>ΝΗΠΙΑΓΩΓΕΙΟ ΒΙΒΛΟΥ ΝΑΞΟΥ</t>
  </si>
  <si>
    <t>mail@nip-vivlou.kyk.sch.gr</t>
  </si>
  <si>
    <t>ΝΗΠΙΑΓΩΓΕΙΟ ΟΙΑΣ ΘΗΡΑΣ</t>
  </si>
  <si>
    <t>mail@nip-oias.kyk.sch.gr</t>
  </si>
  <si>
    <t>ΟΙΑΣ ΘΗΡΑΣ</t>
  </si>
  <si>
    <t>1ο ΝΗΠΙΑΓΩΓΕΙΟ ΕΜΠΟΡΕΙΟΥ ΘΗΡΑΣ</t>
  </si>
  <si>
    <t>mail@1nip-empor.kyk.sch.gr</t>
  </si>
  <si>
    <t>ΕΜΠΟΡΕΙΟΥ ΘΗΡΑΣ</t>
  </si>
  <si>
    <t>ΔΗΜΟΤΙΚΟ ΣΧΟΛΕΙΟ ΠΥΡΓΟΥ-ΜΕΓΑΛΟΧΩΡΙΟΥ ΘΗΡΑΣ</t>
  </si>
  <si>
    <t>mail@dim-pyrgou-thiras.kyk.sch.gr</t>
  </si>
  <si>
    <t>ΠΥΡΓΟΥ-ΜΕΓΑΛΟΧΩΡΙΟΥ</t>
  </si>
  <si>
    <t>ΔΗΜΟΤΙΚΟ ΣΧΟΛΕΙΟ ΛΕΥΚΩΝ-ΚΩΣΤΟΥ ΠΑΡΟΥ</t>
  </si>
  <si>
    <t>mail@dim-lefkon.kyk.sch.gr</t>
  </si>
  <si>
    <t>ΛΕΥΚΕΣ  ΠΑΡΟΥ</t>
  </si>
  <si>
    <t>ΛΕΥΚΕΣ ΠΑΡΟΥ</t>
  </si>
  <si>
    <t>2/Θ ΝΗΠΙΑΓΩΓΕΙΟ ΑΝΩ ΜΕΡΑΣ ΜΥΚΟΝΟΥ</t>
  </si>
  <si>
    <t>mail@nip-an-meras-mykon.kyk.sch.gr</t>
  </si>
  <si>
    <t>ΑΝΩ ΜΕΡΑ  ΜΥΚΟΝΟΥ</t>
  </si>
  <si>
    <t>ΑΝΩ ΜΕΡΑ ΜΥΚΟΝΟΥ Τ.Θ.1140</t>
  </si>
  <si>
    <t>3ο ΝΗΠΙΑΓΩΓΕΙΟ ΠΑΡΟΙΚΙΑΣ ΠΑΡΟΥ</t>
  </si>
  <si>
    <t>mail@3nip-parou.kyk.sch.gr</t>
  </si>
  <si>
    <t>ΠΑΡΟΣ</t>
  </si>
  <si>
    <t>6ο ΝΗΠΙΑΓΩΓΕΙΟ ΝΑΞΟΥ</t>
  </si>
  <si>
    <t>mail@6nip-naxou.kyk.sch.gr</t>
  </si>
  <si>
    <t>ΕΛ. ΒΕΝΙΖΕΛΟΥ</t>
  </si>
  <si>
    <t>7ο  ΝΗΠΙΑΓΩΓΕΙΟ ΧΩΡΑΣ ΝΑΞΟΥ</t>
  </si>
  <si>
    <t>mail@7nip-naxou.kyk.sch.gr</t>
  </si>
  <si>
    <t>ΝΗΠΙΑΓΩΓΕΙΟ ΗΜΕΡΟΒΙΓΛΙΟΥ ΘΗΡΑΣ</t>
  </si>
  <si>
    <t>mail@nip-imerov.kyk.sch.gr</t>
  </si>
  <si>
    <t>ΗΜΕΡΟΒΙΓΛΙ</t>
  </si>
  <si>
    <t>ΗΜΕΡΟΒΙΓΛΙ ΘΗΡΑΣ</t>
  </si>
  <si>
    <t>4ο ΔΗΜΟΤΙΚΟ ΣΧΟΛΕΙΟ ΝΑΞΟΥ</t>
  </si>
  <si>
    <t>mail@4dim-naxou.kyk.sch.gr</t>
  </si>
  <si>
    <t>3ο ΔΗΜΟΤΙΚΟ ΣΧΟΛΕΙΟ ΤΗΝΟΥ</t>
  </si>
  <si>
    <t>mail@3dim-tinou.kyk.sch.gr</t>
  </si>
  <si>
    <t>ΠΑΣΑΚΡΩΤΗΡΙ</t>
  </si>
  <si>
    <t>ΝΗΠΙΑΓΩΓΕΙΟ ΤΡΙΟΒΑΣΑΛΩΝ ΜΗΛΟΥ</t>
  </si>
  <si>
    <t>mail@nip-triov.kyk.sch.gr</t>
  </si>
  <si>
    <t>ΧΑΛΙΚΙΑ ΜΗΛΟΥ</t>
  </si>
  <si>
    <t>ΠΕΡΑ ΤΡΙΟΒΑΣΑΛΟΣ ΜΗΛΟΥ</t>
  </si>
  <si>
    <t>ΠΕΛΟΠΟΝΝΗΣΟΥ</t>
  </si>
  <si>
    <t>Π.Ε. ΑΡΓΟΛΙΔΑΣ</t>
  </si>
  <si>
    <t>ΔΗΜΟΤΙΚΟ ΣΧΟΛΕΙΟ ΑΡΧΑΙΑΣ ΕΠΙΔΑΥΡΟΥ</t>
  </si>
  <si>
    <t>mail@dim-a-epidavr.arg.sch.gr</t>
  </si>
  <si>
    <t>ΕΠΙΔΑΥΡΟΥ</t>
  </si>
  <si>
    <t>ΑΡΧΑΙΑ  ΕΠΙΔΑΥΡΟΣ</t>
  </si>
  <si>
    <t>ΑΣΚΛΗΠΙΟΥ 127</t>
  </si>
  <si>
    <t>1ο ΔΗΜΟΤΙΚΟ ΣΧΟΛΕΙΟ ΑΡΓΟΥΣ</t>
  </si>
  <si>
    <t>mail@1dim-argous.arg.sch.gr</t>
  </si>
  <si>
    <t>ΑΡΓΟΥΣ-ΜΥΚΗΝΩΝ</t>
  </si>
  <si>
    <t>Άργος</t>
  </si>
  <si>
    <t>ΚΑΠΟΔΙΣΤΡΙΟΥ 18</t>
  </si>
  <si>
    <t>1ο  ΝΗΠΙΑΓΩΓΕΙΟ ΠΟΡΤΟΧΕΛΙΟΥ</t>
  </si>
  <si>
    <t>mail@nip-port-cheliou.arg.sch.gr</t>
  </si>
  <si>
    <t>ΕΡΜΙΟΝΙΔΑΣ</t>
  </si>
  <si>
    <t>ΠΟΡΤΟΧΕΛΙΟΥ</t>
  </si>
  <si>
    <t>ΠΟΡΤΟΧΕΛΙ</t>
  </si>
  <si>
    <t>5ο ΔΗΜΟΤΙΚΟ ΣΧΟΛΕΙΟ ΝΑΥΠΛΙΟΥ</t>
  </si>
  <si>
    <t>mail@5dim-nafpl.arg.sch.gr</t>
  </si>
  <si>
    <t>ΝΑΥΠΛΙΕΩΝ</t>
  </si>
  <si>
    <t>ΝΑΥΠΛΙΟ</t>
  </si>
  <si>
    <t>ΧΡΥΣΟΣΤΟΜΟΥ ΣΜΥΡΝΗΣ 29</t>
  </si>
  <si>
    <t>ΔΗΜΟΤΙΚΟ ΣΧΟΛΕΙΟ ΑΝΥΦΙ - ΑΓΓΕΛΟΠΟΥΛΕΙΟ</t>
  </si>
  <si>
    <t>mail@dim-anyfi.arg.sch.gr</t>
  </si>
  <si>
    <t>ΑΝΥΦΙ</t>
  </si>
  <si>
    <t>ΑΝΥΦΙ-  ΑΓΓΕΛΟΠΟΥΛΕΙΟ   ΔΗΜΟΤΙΚΟ ΣΧΟΛΕΙΟ ΑΝΥΦΙΟΥ</t>
  </si>
  <si>
    <t>ΔΗΜΟΤΙΚΟ ΣΧΟΛΕΙΟ ΑΓΙΑΣ ΤΡΙΑΔΑΣ ΑΡΓΟΛΙΔΑΣ</t>
  </si>
  <si>
    <t>mail@dim-ag-triad.arg.sch.gr</t>
  </si>
  <si>
    <t>4ο ΔΗΜΟΤΙΚΟ ΣΧΟΛΕΙΟ ΑΡΓΟΥΣ</t>
  </si>
  <si>
    <t>mail@4dim-argous.arg.sch.gr</t>
  </si>
  <si>
    <t>ΑΡΓΟΣ</t>
  </si>
  <si>
    <t>ΒΛΑΣΣΗ &amp; ΟΜΗΡΟΥ 22</t>
  </si>
  <si>
    <t>ΔΗΜΟΤΙΚΟ ΣΧΟΛΕΙΟ ΤΟΛΟΥ</t>
  </si>
  <si>
    <t>mail@dim-tolou.arg.sch.gr</t>
  </si>
  <si>
    <t>ΤΟΛΟ</t>
  </si>
  <si>
    <t>4ο ΝΗΠΙΑΓΩΓΕΙΟ ΑΡΓΟΥΣ</t>
  </si>
  <si>
    <t>mail@4nip-argous.arg.sch.gr</t>
  </si>
  <si>
    <t>ΑΡΓΟΥΣ</t>
  </si>
  <si>
    <t>ΟΜΗΡΟΥ 10</t>
  </si>
  <si>
    <t>4ο ΔΗΜΟΤΙΚΟ ΣΧΟΛΕΙΟ ΝΑΥΠΛΙΟΥ</t>
  </si>
  <si>
    <t>mail@4dim-nafpl.arg.sch.gr</t>
  </si>
  <si>
    <t>ΕΛΕΝΗΣ ΠΑΠΑΔΑΚΗ ΚΑΙ ΝΑΙΛΣ</t>
  </si>
  <si>
    <t>2ο ΝΗΠΙΑΓΩΓΕΙΟ ΝΑΥΠΛΙΟ - ΝΑΥΠΛΙΟΥ</t>
  </si>
  <si>
    <t>mail@2nip-nafp.arg.sch.gr</t>
  </si>
  <si>
    <t>Ασκληπιού 66</t>
  </si>
  <si>
    <t>4ο ΝΗΠΙΑΓΩΓΕΙΟ ΝΑΥΠΛΙΟΥ</t>
  </si>
  <si>
    <t>mail@4nip-nafpl.arg.sch.gr</t>
  </si>
  <si>
    <t>ΝΑΥΠΛΙΟΥ</t>
  </si>
  <si>
    <t>N. ΕΡΓΑΤΙΚΕΣ ΚΑΤΟΙΚΙΕΣ ΝΑΥΠΛΙΟΥ</t>
  </si>
  <si>
    <t>2ο ΝΗΠΙΑΓΩΓΕΙΟ ΑΡΓΟΥΣ</t>
  </si>
  <si>
    <t>mail@2nip-argous.arg.sch.gr</t>
  </si>
  <si>
    <t>ΠΙΝΔΟΥ 27</t>
  </si>
  <si>
    <t>1ο  ΔΗΜΟΤΙΚΟ ΣΧΟΛΕΙΟ ΚΡΑΝΙΔΙΟΥ</t>
  </si>
  <si>
    <t>mail@1dim-kranid.arg.sch.gr</t>
  </si>
  <si>
    <t>ΚΡΑΝΙΔΙ</t>
  </si>
  <si>
    <t>ΠΛΑΤΕΙΑ ΚΥΠΡΟΥ</t>
  </si>
  <si>
    <t>ΔΗΜΟΤΙΚΟ ΣΧΟΛΕΙΟ ΕΡΜΙΟΝΗΣ</t>
  </si>
  <si>
    <t>mail@dim-ermion.arg.sch.gr</t>
  </si>
  <si>
    <t>ΕΡΜΙΟΝΗ</t>
  </si>
  <si>
    <t>1ο  ΝΗΠΙΑΓΩΓΕΙΟ ΚΡΑΝΙΔΙΟΥ</t>
  </si>
  <si>
    <t>mail@1nip-kranid.arg.sch.gr</t>
  </si>
  <si>
    <t>ΚΡΑΝΙΔΙΟΥ</t>
  </si>
  <si>
    <t>3ο ΔΗΜΟΤΙΚΟ ΣΧΟΛΕΙΟ ΝΑΥΠΛΙΟΥ</t>
  </si>
  <si>
    <t>mail@3dim-nafpl.arg.sch.gr</t>
  </si>
  <si>
    <t>ΠΛΑΤΕΙΑ ΕΘΝΟΣΥΝΕΛΕΥΣΕΩΣ</t>
  </si>
  <si>
    <t>1ο ΝΗΠΙΑΓΩΓΕΙΟ ΑΡΓΟΥΣ</t>
  </si>
  <si>
    <t>mail@1nip-argous.arg.sch.gr</t>
  </si>
  <si>
    <t>ΚΑΛΛΕΡΓΗ ΚΑΙ ΕΜΜΑΝΟΥΗΛ ΡΟΥΣΣΟΥ  1</t>
  </si>
  <si>
    <t>1ο  ΝΗΠΙΑΓΩΓΕΙΟ ΛΥΓΟΥΡΙΟΥ</t>
  </si>
  <si>
    <t>mail@1nip-lygour.arg.sch.gr</t>
  </si>
  <si>
    <t>ΑΣΚΛΗΠΙΕΙΟΥ</t>
  </si>
  <si>
    <t>ΑΣΚΛΗΠΙΕΙΟ</t>
  </si>
  <si>
    <t>6ο ΔΗΜΟΤΙΚΟ ΣΧΟΛΕΙΟ ΝΑΥΠΛΙΟΥ</t>
  </si>
  <si>
    <t>mail@6dim-nafpl.arg.sch.gr</t>
  </si>
  <si>
    <t>ΑΡΙΑ ΝΑΥΠΛΙΟΥ</t>
  </si>
  <si>
    <t>ΔΗΜΟΤΙΚΟ ΣΧΟΛΕΙΟ ΑΓΙΟΥ ΑΔΡΙΑΝΟΥ</t>
  </si>
  <si>
    <t>mail@dim-ag-andrian.arg.sch.gr</t>
  </si>
  <si>
    <t>ΑΓΙΟΣ ΑΔΡΙΑΝΟΣ</t>
  </si>
  <si>
    <t>ΔΗΜΟΤΙΚΟ ΣΧΟΛΕΙΟ ΝΕΑΣ ΤΙΡΥΝΘΑΣ</t>
  </si>
  <si>
    <t>mail@dim-n-tirynth.arg.sch.gr</t>
  </si>
  <si>
    <t>ΝΕΑ ΤΙΡΥΝΘΑ</t>
  </si>
  <si>
    <t>ΝΗΠΙΑΓΩΓΕΙΟ ΝΕΑΣ ΤΙΡΥΝΘΑΣ ΑΡΓΟΛΙΔΑΣ</t>
  </si>
  <si>
    <t>mail@nip-n-tirynth.arg.sch.gr</t>
  </si>
  <si>
    <t>ΝΕΑΣ ΤΙΡΥΝΘΑΣ</t>
  </si>
  <si>
    <t>1ο ΝΗΠΙΑΓΩΓΕΙΟ ΝΑΥΠΛΙΟΥ</t>
  </si>
  <si>
    <t>mail@nip-nafp.arg.sch.gr</t>
  </si>
  <si>
    <t>Ναυπλίου</t>
  </si>
  <si>
    <t>Περικλέους 14</t>
  </si>
  <si>
    <t>ΝΗΠΙΑΓΩΓΕΙΟ ΔΡΕΠΑΝΟΥ ΑΡΓΟΛΙΔΑΣ</t>
  </si>
  <si>
    <t>mail@nip-drepan.arg.sch.gr</t>
  </si>
  <si>
    <t>ΔΡΕΠΑΝΟΥ</t>
  </si>
  <si>
    <t>ΔΗΜΟΤΙΚΟ ΣΧΟΛΕΙΟ ΚΟΙΛΑΔΑΣ</t>
  </si>
  <si>
    <t>mail@dim-koilad.arg.sch.gr</t>
  </si>
  <si>
    <t>Κοιλάδα</t>
  </si>
  <si>
    <t>ΚΟΙΛΑΔΑ ΑΡΓΟΛΙΔΑΣ</t>
  </si>
  <si>
    <t>ΔΗΜΟΤΙΚΟ ΣΧΟΛΕΙΟ ΛΥΓΟΥΡΙΟΥ</t>
  </si>
  <si>
    <t>dimlygour@sch.gr</t>
  </si>
  <si>
    <t>ΛΥΓΟΥΡΙΟ</t>
  </si>
  <si>
    <t>ΣΥΓΓΡΟΥ 2</t>
  </si>
  <si>
    <t>5ο ΝΗΠΙΑΓΩΓΕΙΟ ΑΡΓΟΣ</t>
  </si>
  <si>
    <t>mail@5nip-argous.arg.sch.gr</t>
  </si>
  <si>
    <t>ΔΗΜΟΤΙΚΟ ΣΧΟΛΕΙΟ ΔΙΔΥΜΩΝ</t>
  </si>
  <si>
    <t>mail@dim-didym.arg.sch.gr</t>
  </si>
  <si>
    <t xml:space="preserve">ΔΙΔΥΜΑ  </t>
  </si>
  <si>
    <t>ΔΙΔΥΜΑ  ΑΡΓΟΛΙΔΑΣ</t>
  </si>
  <si>
    <t>6ο  ΝΗΠΙΑΓΩΓΕΙΟ ΑΡΓΟΥΣ</t>
  </si>
  <si>
    <t>mail@6nip-argous.arg.sch.gr</t>
  </si>
  <si>
    <t>ΠΑΡΟΔΟΣ ΗΡΑΚΛΕΟΥΣ 137</t>
  </si>
  <si>
    <t>10ο ΝΗΠΙΑΓΩΓΕΙΟ ΑΡΓΟΥΣ</t>
  </si>
  <si>
    <t>mail@10nip-argous.arg.sch.gr</t>
  </si>
  <si>
    <t>ΚΩΣΤΗ ΠΑΛΑΜΑ 1</t>
  </si>
  <si>
    <t>1ο  ΔΗΜΟΤΙΚΟ ΣΧΟΛΕΙΟ ΝΑΥΠΛΙΟΥ ΕΥΓΕΝΙΑ ΒΡΟΝΤΑΜΙΤΗ ΙΑΤΡΟΥ</t>
  </si>
  <si>
    <t>1dimnafp@sch.gr</t>
  </si>
  <si>
    <t>ΑΜΑΛΙΑΣ 1</t>
  </si>
  <si>
    <t>2ο ΔΗΜΟΤΙΚΟ ΣΧΟΛΕΙΟ ΝΑΥΠΛΙΟΥ</t>
  </si>
  <si>
    <t>mail@2dim-nafpl.arg.sch.gr</t>
  </si>
  <si>
    <t>ΔΗΜΟΤΙΚΟ ΣΧΟΛΕΙΟ ΠΟΡΤΟΧΕΛΙΟΥ</t>
  </si>
  <si>
    <t>mail@dim-portoch.arg.sch.gr</t>
  </si>
  <si>
    <t>ΠΑΥΛΟΥ  ΜΕΛΑ    15</t>
  </si>
  <si>
    <t>ΔΗΜΟΤΙΚΟ ΣΧΟΛΕΙΟ ΚΕΦΑΛΑΡΙΟΥ</t>
  </si>
  <si>
    <t>mail@dim-kefal.arg.sch.gr</t>
  </si>
  <si>
    <t>ΚΕΦΑΛΑΡΙ</t>
  </si>
  <si>
    <t>3ο ΝΗΠΙΑΓΩΓΕΙΟ ΝΑΥΠΛΙΟΥ - ΠΡΟΝΟΙΑΣ</t>
  </si>
  <si>
    <t>mail@nip-pronoias.arg.sch.gr</t>
  </si>
  <si>
    <t>ΝΗΠΙΑΓΩΓΕΙΟ ΝΕΑΣ ΚΙΟΥ</t>
  </si>
  <si>
    <t>mail@nip-n-kiou.arg.sch.gr</t>
  </si>
  <si>
    <t>ΝΕΑ ΚΙΟΣ</t>
  </si>
  <si>
    <t>ΚΟΥΛΙΓΚΑ  4</t>
  </si>
  <si>
    <t>ΔΗΜΟΤΙΚΟ ΣΧΟΛΕΙΟ ΔΑΛΑΜΑΝΑΡΑΣ</t>
  </si>
  <si>
    <t>mail@dim-dalam.arg.sch.gr</t>
  </si>
  <si>
    <t>ΔΑΛΑΜΑΝΑΡΑ</t>
  </si>
  <si>
    <t>ΔΑΛΑΜΑΝΑΡΑ ΑΡΓΟΛΙΔΑΣ</t>
  </si>
  <si>
    <t>2ο    ΔΗΜΟΤΙΚΟ    ΣΧΟΛΕΙΟ    ΚΡΑΝΙΔΙΟΥ</t>
  </si>
  <si>
    <t>mail@2dim-kranid.arg.sch.gr</t>
  </si>
  <si>
    <t>1ο     ΝΗΠΙΑΓΩΓΕΙΟ ΕΡΜΙΟΝΗΣ</t>
  </si>
  <si>
    <t>mail@nip-ermion.arg.sch.gr</t>
  </si>
  <si>
    <t>ΕΡΜΙΟΝΗΣ</t>
  </si>
  <si>
    <t>ΕΡΜΙΟΝΗ ΑΡΓΟΛΙΔΑΣ</t>
  </si>
  <si>
    <t>ΝΗΠΙΑΓΩΓΕΙΟ ΑΡΧΑΙΑΣ ΕΠΙΔΑΥΡΟΥ</t>
  </si>
  <si>
    <t>mail@nip-a-epidavr.arg.sch.gr</t>
  </si>
  <si>
    <t>ΑΡΧΑΙΑΣ ΕΠΙΔΑΥΡΟΥ</t>
  </si>
  <si>
    <t>ΔΗΜΟΤΙΚΗ</t>
  </si>
  <si>
    <t>ΔΗΜΟΤΙΚΟ ΣΧΟΛΕΙΟ ΙΝΑΧΟΥ</t>
  </si>
  <si>
    <t>mail@dim-inach.arg.sch.gr</t>
  </si>
  <si>
    <t>ΙΝΑΧΟΣ-ΑΡΓΟΥΣ</t>
  </si>
  <si>
    <t>7ο ΔΗΜΟΤΙΚΟ ΣΧΟΛΕΙΟ ΑΡΓΟΥΣ</t>
  </si>
  <si>
    <t>mail@7dim-argous.arg.sch.gr</t>
  </si>
  <si>
    <t>ΚΑΠΟΔΙΣΤΡΙΑ 18</t>
  </si>
  <si>
    <t>2ο ΔΗΜΟΤΙΚΟ ΣΧΟΛΕΙΟ ΑΡΓΟΥΣ</t>
  </si>
  <si>
    <t>mail@2dim-argous.arg.sch.gr</t>
  </si>
  <si>
    <t>ΗΡΑΣ 6</t>
  </si>
  <si>
    <t>3ο ΔΗΜΟΤΙΚΟ ΣΧΟΛΕΙΟ ΑΡΓΟΥΣ</t>
  </si>
  <si>
    <t>mail@3dim-argous.arg.sch.gr</t>
  </si>
  <si>
    <t>ΦΟΡΩΝΕΩΣ 357</t>
  </si>
  <si>
    <t>5ο ΔΗΜΟΤΙΚΟ ΣΧΟΛΕΙΟ ΑΡΓΟΥΣ</t>
  </si>
  <si>
    <t>mail@5dim-argous.arg.sch.gr</t>
  </si>
  <si>
    <t>ΤΕΡΜΑ ΑΓΙΟΥ ΓΕΩΡΓΙΟΥ</t>
  </si>
  <si>
    <t>6ο ΔΗΜΟΤΙΚΟ ΣΧΟΛΕΙΟ ΑΡΓΟΥΣ</t>
  </si>
  <si>
    <t>mail@6dim-argous.arg.sch.gr</t>
  </si>
  <si>
    <t>ΗΡΑΚΛΕΟΥΣ 137</t>
  </si>
  <si>
    <t>ΔΗΜΟΤΙΚΟ ΣΧΟΛΕΙΟ ΝΕΑΣ ΚΙΟΥ-ΑΠΟΣΤΟΛΟΣ ΠΕΖΑΣ</t>
  </si>
  <si>
    <t>mail@dim-n-kiou.arg.sch.gr</t>
  </si>
  <si>
    <t>Ι. ΧΑΤΖΗΜΑΝΩΛΗ 1 - ΝΕΑ ΚΙΟΣ</t>
  </si>
  <si>
    <t>ΔΗΜΟΤΙΚΟ ΣΧΟΛΕΙΟ ΚΟΥΤΣΟΠΟΔΙΟΥ</t>
  </si>
  <si>
    <t>mail@dim-kouts.arg.sch.gr</t>
  </si>
  <si>
    <t>ΚΟΥΤΣΟΠΟΔΙ</t>
  </si>
  <si>
    <t>Κουτσοπόδι, Αργολίδας</t>
  </si>
  <si>
    <t>3ο ΝΗΠΙΑΓΩΓΕΙΟ ΑΡΓΟΥΣ</t>
  </si>
  <si>
    <t>mail@3nip-argous.arg.sch.gr</t>
  </si>
  <si>
    <t>ΚΑΡΑΤΖΑ 18</t>
  </si>
  <si>
    <t>ΔΗΜΟΤΙΚΟ ΣΧΟΛΕΙΟ ΚΙΒΕΡΙΟΥ</t>
  </si>
  <si>
    <t>mail@dim-kiver.arg.sch.gr</t>
  </si>
  <si>
    <t>ΚΙΒΕΡΙ</t>
  </si>
  <si>
    <t>3ο ΝΗΠΙΑΓΩΓΕΙΟ ΚΡΑΝΙΔΙΟΥ</t>
  </si>
  <si>
    <t>mail@3nip-kranid.arg.sch.gr</t>
  </si>
  <si>
    <t>ΑΝΟΔΟΣ ΜΙΧΑΛΗ ΧΑΣΠΑΡΗ</t>
  </si>
  <si>
    <t>ΔΗΜΟΤΙΚΟ ΣΧΟΛΕΙΟ  ΔΡΕΠΑΝΟΥ</t>
  </si>
  <si>
    <t>mail@dim-drepan.arg.sch.gr</t>
  </si>
  <si>
    <t>ΔΡΕΠΑΝΟ  Δ. ΝΑΥΠΛΙΕΩΝ</t>
  </si>
  <si>
    <t>Π.Ε. ΑΡΚΑΔΙΑΣ</t>
  </si>
  <si>
    <t>9ο ΔΗΜΟΤΙΚΟ ΣΧΟΛΕΙΟ ΤΡΙΠΟΛΗΣ</t>
  </si>
  <si>
    <t>mail@9dim-tripol.ark.sch.gr</t>
  </si>
  <si>
    <t>ΤΡΙΠΟΛΗΣ</t>
  </si>
  <si>
    <t>ΤΡΙΠΟΛΗ</t>
  </si>
  <si>
    <t>ΧΑΤΖΗΧΡΗΣΤΟΥ 27</t>
  </si>
  <si>
    <t>14ο ΝΗΠΙΑΓΩΓΕΙΟ ΤΡΙΠΟΛΗΣ</t>
  </si>
  <si>
    <t>mail@14nip-tripol.ark.sch.gr</t>
  </si>
  <si>
    <t>ΑΤΑΛΑΝΤΗΣ 32</t>
  </si>
  <si>
    <t>3ο ΝΗΠΙΑΓΩΓΕΙΟ ΜΕΓΑΛΟΠΟΛΗΣ</t>
  </si>
  <si>
    <t>mail@3nip-megal.ark.sch.gr</t>
  </si>
  <si>
    <t>ΜΕΓΑΛΟΠΟΛΗΣ</t>
  </si>
  <si>
    <t>ΜΕΓΑΛΟΠΟΛΗ</t>
  </si>
  <si>
    <t>ΠΑΠΑΝΑΣΤΑΣΙΟΥ 48</t>
  </si>
  <si>
    <t>15ο ΝΗΠΙΑΓΩΓΕΙΟ ΤΡΙΠΟΛΗΣ</t>
  </si>
  <si>
    <t>mail@15nip-tripol.ark.sch.gr</t>
  </si>
  <si>
    <t>ΥΠΕΡΜΑΡΑΘΩΝΟΔΡΟΜΟΥ ΓΙΑΝΝΗ ΚΟΥΡΟΥ 3</t>
  </si>
  <si>
    <t>12ο ΝΗΠΙΑΓΩΓΕΙΟ ΤΡΙΠΟΛΗΣ</t>
  </si>
  <si>
    <t>mail@12nip-tripol.ark.sch.gr</t>
  </si>
  <si>
    <t>ΛΥΚΑΙΟΥ ΤΕΡΜΑ</t>
  </si>
  <si>
    <t>4ο ΝΗΠΙΑΓΩΓΕΙΟ ΤΡΙΠΟΛΗΣ</t>
  </si>
  <si>
    <t>mail@4nip-tripol.ark.sch.gr</t>
  </si>
  <si>
    <t>ΝΤΑΡΑ Φ.  ΚΑΙ ΔΕΥΚΑΛΙΩΝΟΣ ΠΕΡΙΟΧΗ ΦΙΛΙΚΩΝ</t>
  </si>
  <si>
    <t>7ο ΝΗΠΙΑΓΩΓΕΙΟ ΤΡΙΠΟΛΗΣ</t>
  </si>
  <si>
    <t>mail@7nip-tripol.ark.sch.gr</t>
  </si>
  <si>
    <t>ΜΟΥΤΖΟΥΡΟΠΟΥΛΟΥ 67</t>
  </si>
  <si>
    <t>1ο ΝΗΠΙΑΓΩΓΕΙΟ ΤΡΙΠΟΛΗΣ</t>
  </si>
  <si>
    <t>mail@1nip-tripol.ark.sch.gr</t>
  </si>
  <si>
    <t>ΠΑΤΡΙΑΡΧΟΥ ΓΡΗΓΟΡΙΟΥ E' 24</t>
  </si>
  <si>
    <t>3ο ΝΗΠΙΑΓΩΓΕΙΟ ΤΡΙΠΟΛΗΣ</t>
  </si>
  <si>
    <t>mail@3nip-tripol.ark.sch.gr</t>
  </si>
  <si>
    <t>ΑΡΑΚΛΟΒΟΥ   12</t>
  </si>
  <si>
    <t>1ο  ΝΗΠΙΑΓΩΓΕΙΟ ΜΕΓΑΛΟΠΟΛΗΣ</t>
  </si>
  <si>
    <t>mail@1nip-megal.ark.sch.gr</t>
  </si>
  <si>
    <t>ΣΩΚΡΑΤΗ  ΚΑΙ ΕΥΡΙΠΙΔΗ</t>
  </si>
  <si>
    <t>8ο ΝΗΠΙΑΓΩΓΕΙΟ ΤΡΙΠΟΛΗΣ</t>
  </si>
  <si>
    <t>mail@8nip-tripol.ark.sch.gr</t>
  </si>
  <si>
    <t>ΚΑΡΑΊΣΚΑΚΗ 69</t>
  </si>
  <si>
    <t>1ο ΝΗΠΙΑΓΩΓΕΙΟ ΑΣΤΡΟΥΣ</t>
  </si>
  <si>
    <t>mail@1nip-astrous.ark.sch.gr</t>
  </si>
  <si>
    <t>ΒΟΡΕΙΑΣ ΚΥΝΟΥΡΙΑΣ</t>
  </si>
  <si>
    <t>ΑΣΤΡΟΥΣ</t>
  </si>
  <si>
    <t>ΑΣΤΡΟΣ ΚΥΝΟΥΡΙΑΣ</t>
  </si>
  <si>
    <t>11ο ΔΗΜΟΤΙΚΟ ΣΧΟΛΕΙΟ ΤΡΙΠΟΛΗΣ</t>
  </si>
  <si>
    <t>mail@11dim-tripol.ark.sch.gr</t>
  </si>
  <si>
    <t>ΑΚΑΔΗΜΙΑΣ 10</t>
  </si>
  <si>
    <t>ΔΗΜΟΤΙΚΟ ΣΧΟΛΕΙΟ ΛΕΒΙΔΙΟΥ</t>
  </si>
  <si>
    <t>mail@dim-levid.ark.sch.gr</t>
  </si>
  <si>
    <t>Λεβίδι</t>
  </si>
  <si>
    <t>ΛΕΒΙΔΙ</t>
  </si>
  <si>
    <t>4ο  ΔΗΜΟΤΙΚΟ ΣΧΟΛΕΙΟ ΤΡΙΠΟΛΗΣ</t>
  </si>
  <si>
    <t>mail@4dim-tripol.ark.sch.gr</t>
  </si>
  <si>
    <t>ΔΗΜΗΤΡΟΣ 27</t>
  </si>
  <si>
    <t>7ο ΔΗΜΟΤΙΚΟ ΣΧΟΛΕΙΟ ΤΡΙΠΟΛΗΣ</t>
  </si>
  <si>
    <t>mail@7dim-tripol.ark.sch.gr</t>
  </si>
  <si>
    <t>ΑΤΑΛΑΝΤΗΣ 42</t>
  </si>
  <si>
    <t>2ο ΝΗΠΙΑΓΩΓΕΙΟ ΤΡΙΠΟΛΗΣ</t>
  </si>
  <si>
    <t>mail@2nip-tripol.ark.sch.gr</t>
  </si>
  <si>
    <t>ΑΚΑΔΗΜΙΑΣ 12</t>
  </si>
  <si>
    <t>2ο ΝΗΠΙΑΓΩΓΕΙΟ ΜΕΓΑΛΟΠΟΛΗΣ</t>
  </si>
  <si>
    <t>mail@2nip-megal.ark.sch.gr</t>
  </si>
  <si>
    <t>ΟΙΚΙΣΜΟΣ ΔΕΗ</t>
  </si>
  <si>
    <t>ΔΗΜΟΤΙΚΟ ΣΧΟΛΕΙΟ ΤΥΡΟΣΑΠΟΥΝΑΚΑΙΪΚΩΝ</t>
  </si>
  <si>
    <t>mail@dim-tyros.ark.sch.gr</t>
  </si>
  <si>
    <t>ΝΟΤΙΑΣ ΚΥΝΟΥΡΙΑΣ</t>
  </si>
  <si>
    <t>ΤΥΡΟΣΑΠΟΥΝΑΚΑΙΪΚΑ</t>
  </si>
  <si>
    <t>ΔΗΜΟΤΙΚΟ ΣΧΟΛΕΙΟ ΤΡΟΠΑΙΩΝ</t>
  </si>
  <si>
    <t>mail@dim-tropaion.ark.sch.gr</t>
  </si>
  <si>
    <t>ΓΟΡΤΥΝΙΑΣ</t>
  </si>
  <si>
    <t>ΤΡΟΠΑΙA</t>
  </si>
  <si>
    <t>ΤΡΟΠΑΙΑ</t>
  </si>
  <si>
    <t>ΔΗΜΟΤΙΚΟ ΣΧΟΛΕΙΟ ΠΑΡΑΛΙΟΥ ΑΣΤΡΟΥΣ</t>
  </si>
  <si>
    <t>mail@dim-p-astrous.ark.sch.gr</t>
  </si>
  <si>
    <t>ΠΑΡΑΛΙΟ ΑΣΤΡΟΣ</t>
  </si>
  <si>
    <t>ΣΩΚΡΑΤΗ ΚΑΛΛΙΤΣΗ</t>
  </si>
  <si>
    <t>ΔΗΜΟΤΙΚΟ ΣΧΟΛΕΙΟ ΒΕΡΒΕΝΩΝ</t>
  </si>
  <si>
    <t>mail@dim-verven.ark.sch.gr</t>
  </si>
  <si>
    <t>ΑΣΤΡΟΣ</t>
  </si>
  <si>
    <t>ΔΗΜΟΤΙΚΟ ΣΧΟΛΕΙΟ ΑΓ.ΑΝΔΡΕΑ-ΠΡΑΣΤΟΥ</t>
  </si>
  <si>
    <t>mail@dim-ag-andrea.ark.sch.gr</t>
  </si>
  <si>
    <t>ΑΓ.ΑΝΔΡΕΑΣ</t>
  </si>
  <si>
    <t>ΑΓΙΟΣ ΑΝΔΡΕΑΣ</t>
  </si>
  <si>
    <t>ΔΗΜΟΤΙΚΟ ΣΧΟΛΕΙΟ ΤΕΓΕΑΣ</t>
  </si>
  <si>
    <t>mail@dim-tegeas.ark.sch.gr</t>
  </si>
  <si>
    <t>Στάδιο</t>
  </si>
  <si>
    <t>Στάδιο Τεγέας - Ν. Αρκαδίας</t>
  </si>
  <si>
    <t>ΔΗΜΟΤΙΚΟ ΣΧΟΛΕΙΟ ΛΕΩΝΙΔΙΟΥ</t>
  </si>
  <si>
    <t>mail@dim-leonid.ark.sch.gr</t>
  </si>
  <si>
    <t>Λεωνίδιο</t>
  </si>
  <si>
    <t>ΛΕΩΝΙΔΙΟ</t>
  </si>
  <si>
    <t>1ο ΔΗΜΟΤΙΚΟ ΣΧΟΛΕΙΟ ΜΕΓΑΛΟΠΟΛΗΣ</t>
  </si>
  <si>
    <t>mail@1dim-megal.ark.sch.gr</t>
  </si>
  <si>
    <t>5ο ΝΗΠΙΑΓΩΓΕΙΟ ΤΡΙΠΟΛΗΣ</t>
  </si>
  <si>
    <t>mail@5nip-tripol.ark.sch.gr</t>
  </si>
  <si>
    <t>ΑΧΑΙΟΥ 2</t>
  </si>
  <si>
    <t>3ο ΔΗΜΟΤΙΚΟ ΣΧΟΛΕΙΟ ΜΕΓΑΛΟΠΟΛΗΣ</t>
  </si>
  <si>
    <t>3dimmeg@sch.gr</t>
  </si>
  <si>
    <t>ΔΗΜΟΤΙΚΟ ΣΧΟΛΕΙΟ ΑΣΤΡΟΥΣ</t>
  </si>
  <si>
    <t>mail@dim-astrous.ark.sch.gr</t>
  </si>
  <si>
    <t>ΑΣΤΡΟΣ ΑΡΚΑΔΙΑΣ</t>
  </si>
  <si>
    <t>10ο ΔΗΜΟΤΙΚΟ ΣΧΟΛΕΙΟ ΤΡΙΠΟΛΗΣ</t>
  </si>
  <si>
    <t>mail@10dim-tripol.ark.sch.gr</t>
  </si>
  <si>
    <t>ΑΡΑΚΛΟΒΟΥ 12</t>
  </si>
  <si>
    <t>3ο ΔΗΜΟΤΙΚΟ ΣΧΟΛΕΙΟ ΤΡΙΠΟΛΗΣ</t>
  </si>
  <si>
    <t>mail@3dim-tripol.ark.sch.gr</t>
  </si>
  <si>
    <t>ΑΓ.ΤΡΥΦΩΝΟΣ 18</t>
  </si>
  <si>
    <t>6ο ΔΗΜΟΤΙΚΟ ΣΧΟΛΕΙΟ ΤΡΙΠΟΛΗΣ</t>
  </si>
  <si>
    <t>mail@6dim-tripol.ark.sch.gr</t>
  </si>
  <si>
    <t>ΔΕΡΒΕΝΑΚΙΩΝ  2</t>
  </si>
  <si>
    <t>8ο ΔΗΜΟΤΙΚΟ ΣΧΟΛΕΙΟ ΤΡΙΠΟΛΗΣ</t>
  </si>
  <si>
    <t>mail@8dim-tripol.ark.sch.gr</t>
  </si>
  <si>
    <t>ΣΑΒΒΑ ΚΟΥΝΑ 8</t>
  </si>
  <si>
    <t>2ο ΔΗΜΟΤΙΚΟ ΣΧΟΛΕΙΟ ΤΡΙΠΟΛΗΣ</t>
  </si>
  <si>
    <t>mail@2dim-tripol.ark.sch.gr</t>
  </si>
  <si>
    <t>ΠΑΝΟΣ 16</t>
  </si>
  <si>
    <t>10ο ΝΗΠΙΑΓΩΓΕΙΟ ΤΡΙΠΟΛΗΣ</t>
  </si>
  <si>
    <t>mail@10nip-tripol.ark.sch.gr</t>
  </si>
  <si>
    <t>5ο ΔΗΜΟΤΙΚΟ ΣΧΟΛΕΙΟ ΤΡΙΠΟΛΗΣ</t>
  </si>
  <si>
    <t>mail@5dim-tripol.ark.sch.gr</t>
  </si>
  <si>
    <t>2ο ΔΗΜΟΤΙΚΟ ΣΧΟΛΕΙΟ ΜΕΓΑΛΟΠΟΛΗΣ</t>
  </si>
  <si>
    <t>mail@2dim-megal.ark.sch.gr</t>
  </si>
  <si>
    <t>Μεγαλόπολη</t>
  </si>
  <si>
    <t>ΛΥΚΑΙΟΥ 31</t>
  </si>
  <si>
    <t>1ο ΔΗΜΟΤΙΚΟ ΣΧΟΛΕΙΟ ΤΡΙΠΟΛΗΣ</t>
  </si>
  <si>
    <t>mail@1dim-tripol.ark.sch.gr</t>
  </si>
  <si>
    <t>Τρίπολη</t>
  </si>
  <si>
    <t>12ο ΔΗΜΟΤΙΚΟ ΣΧΟΛΕΙΟ ΤΡΙΠΟΛΗΣ</t>
  </si>
  <si>
    <t>mail@12dim-tripol.ark.sch.gr</t>
  </si>
  <si>
    <t>Υπερμαραθωνοδρόμου Γιάννη Κούρου 5</t>
  </si>
  <si>
    <t>Π.Ε. ΚΟΡΙΝΘΙΑΣ</t>
  </si>
  <si>
    <t>1ο ΝΗΠΙΑΓΩΓΕΙΟ ΚΟΡΙΝΘΟΥ</t>
  </si>
  <si>
    <t>mail@1nip-korinth.kor.sch.gr</t>
  </si>
  <si>
    <t>ΚΟΡΙΝΘΙΩΝ</t>
  </si>
  <si>
    <t>ΚΟΡΙΝΘΟΥ</t>
  </si>
  <si>
    <t>ΚΟΛΟΚΟΤΡΩΝΗ ΚΑΙ ΠΗΓΑΣOY</t>
  </si>
  <si>
    <t>3ο ΝΗΠΙΑΓΩΓΕΙΟ ΚΟΡΙΝΘΟΥ</t>
  </si>
  <si>
    <t>mail@3nip-korinth.kor.sch.gr</t>
  </si>
  <si>
    <t>ΚΟΛΙΑΤΣΟΥ 111</t>
  </si>
  <si>
    <t>5ο ΝΗΠΙΑΓΩΓΕΙΟ ΚΟΡΙΝΘΟΥ</t>
  </si>
  <si>
    <t>mail@5nip-korinth.kor.sch.gr</t>
  </si>
  <si>
    <t>ΝΕΟ ΠΟΛΥΔΥΝΑΜΟ ΝΗΠΙΑΓΩΓΕΙΟ ΑΓ.ΑΝΝΗΣ</t>
  </si>
  <si>
    <t>6ο ΝΗΠΙΑΓΩΓΕΙΟ ΚΟΡΙΝΘΟΥ</t>
  </si>
  <si>
    <t>mail@6nip-korinth.kor.sch.gr</t>
  </si>
  <si>
    <t>ΠΕΙΡΗΝΗΣ 38</t>
  </si>
  <si>
    <t>9ο ΝΗΠΙΑΓΩΓΕΙΟ ΚΟΡΙΝΘΟΥ</t>
  </si>
  <si>
    <t>mail@9nip-korinth.kor.sch.gr</t>
  </si>
  <si>
    <t>ΧΡ. ΤΣΑΜΑΝΤΑ 21</t>
  </si>
  <si>
    <t>12ο ΝΗΠΙΑΓΩΓΕΙΟ ΚΟΡΙΝΘΟΥ</t>
  </si>
  <si>
    <t>mail@12nip-korinth.kor.sch.gr</t>
  </si>
  <si>
    <t>ΙΠΠΟΚΡΑΤΟΥΣ ΚΑΙ ΟΥΡΑΝΟΥ</t>
  </si>
  <si>
    <t>14ο ΝΗΠΙΑΓΩΓΕΙΟ ΚΟΡΙΝΘΟΥ</t>
  </si>
  <si>
    <t>mail@14nip-korinth.kor.sch.gr</t>
  </si>
  <si>
    <t>ΛΟΥΤΡΑΚΙΟΥ 10</t>
  </si>
  <si>
    <t>ΝΗΠΙΑΓΩΓΕΙΟ ΕΞΑΜΙΛΙΩΝ</t>
  </si>
  <si>
    <t>mail@nip-examil.kor.sch.gr</t>
  </si>
  <si>
    <t>ΕΞΑΜΙΛΙΩΝ</t>
  </si>
  <si>
    <t>ΕΞΑΜΙΛΙΑ</t>
  </si>
  <si>
    <t>ΝΗΠΙΑΓΩΓΕΙΟ ΑΡΧΑΙΑΣ ΚΟΡΙΝΘΟΥ - ΚΟΝΔΥΛΕΙΟ</t>
  </si>
  <si>
    <t>mail@nip-a-korinth.kor.sch.gr</t>
  </si>
  <si>
    <t>ΑΡΧΑΙΑΣ ΚΟΡΙΝΘΟΥ</t>
  </si>
  <si>
    <t>ΑΡΧΑΙΑ ΚΟΡΙΝΘΟΣ</t>
  </si>
  <si>
    <t>ΔΗΜΟΤΙΚΟ ΣΧΟΛΕΙΟ ΑΓΙΟΥ ΒΑΣΙΛΕΙΟΥ ΚΟΡΙΝΘΙΑΣ</t>
  </si>
  <si>
    <t>mail@dim-ag-vasil.kor.sch.gr</t>
  </si>
  <si>
    <t>ΑΓΙΟΣ ΒΑΣΙΛΕΙΟΣ</t>
  </si>
  <si>
    <t>ΔΗΜΟΤΙΚΟ ΣΧΟΛΕΙΟ ΕΞΑΜΙΛΙΩΝ</t>
  </si>
  <si>
    <t>mail@dim-examil.kor.sch.gr</t>
  </si>
  <si>
    <t>ΕΞΑΜΙΛΙΑ ΚΟΡΙΝΘΙΑΣ</t>
  </si>
  <si>
    <t>8ο ΔΗΜΟΤΙΚΟ ΣΧΟΛΕΙΟ ΚΟΡΙΝΘΟΥ</t>
  </si>
  <si>
    <t>mail@8dim-korinth.kor.sch.gr</t>
  </si>
  <si>
    <t>ΚΟΡΙΝΘΟΣ</t>
  </si>
  <si>
    <t>ΕΦΥΡΑΣ 44</t>
  </si>
  <si>
    <t>ΝΗΠΙΑΓΩΓΕΙΟ ΑΣΣΟΥ</t>
  </si>
  <si>
    <t>mail@nip-assou.kor.sch.gr</t>
  </si>
  <si>
    <t>ΑΣΣΟΥ</t>
  </si>
  <si>
    <t>ΑΣΣΟΣ ΚΟΡΙΝΘΙΑΣ</t>
  </si>
  <si>
    <t>3ο ΝΗΠΙΑΓΩΓΕΙΟ ΛΟΥΤΡΑΚΙΟΥ</t>
  </si>
  <si>
    <t>mail@3nip-loutr.kor.sch.gr</t>
  </si>
  <si>
    <t>ΛΟΥΤΡΑΚΙΟΥ-ΠΕΡΑΧΩΡΑΣ-ΑΓΙΩΝ ΘΕΟΔΩΡΩΝ</t>
  </si>
  <si>
    <t>ΑΘΑΝΑΣΙΟΥ ΟΙΚΟΝΟΜΟΥ ΚΑΙ ΝΟΤΑΡΑ 1</t>
  </si>
  <si>
    <t>2ο ΝΗΠΙΑΓΩΓΕΙΟ ΛΟΥΤΡΑΚΙΟΥ</t>
  </si>
  <si>
    <t>mail@2nip-loutr.kor.sch.gr</t>
  </si>
  <si>
    <t>ΛΟΥΤΡΑΚΙΟΥ</t>
  </si>
  <si>
    <t>ΑΝΔΡΟΥΤΣΟΥ 68</t>
  </si>
  <si>
    <t>4ο ΝΗΠΙΑΓΩΓΕΙΟ ΛΟΥΤΡΑΚΙΟΥ</t>
  </si>
  <si>
    <t>mail@4nip-loutr.kor.sch.gr</t>
  </si>
  <si>
    <t>ΠΕΡΙΑΝΔΡΟΥ 49A</t>
  </si>
  <si>
    <t>1ο ΝΗΠΙΑΓΩΓΕΙΟ ΛΟΥΤΡΑΚΙΟΥ</t>
  </si>
  <si>
    <t>mail@1nip-loutr.kor.sch.gr</t>
  </si>
  <si>
    <t>ΜΑΡΚΟΥ ΜΠΟΤΣΑΡΗ 30</t>
  </si>
  <si>
    <t>ΝΗΠΙΑΓΩΓΕΙΟ ΑΛΜΥΡΗΣ</t>
  </si>
  <si>
    <t>mail@nip-almyr.kor.sch.gr</t>
  </si>
  <si>
    <t>ΑΛΜΥΡΗΣ</t>
  </si>
  <si>
    <t>ΑΛΜΥΡΗ</t>
  </si>
  <si>
    <t>ΝΗΠΙΑΓΩΓΕΙΟ ΒΟΧΑΪΚΟΥ</t>
  </si>
  <si>
    <t>mail@nip-vochaik.kor.sch.gr</t>
  </si>
  <si>
    <t>ΒΕΛΟΥ-ΒΟΧΑΣ</t>
  </si>
  <si>
    <t>ΒΟΧΑΪΚΟ</t>
  </si>
  <si>
    <t>ΒΟΧΑΪΚΟ ΚΟΡΙΝΘΙΑΣ</t>
  </si>
  <si>
    <t>ΝΗΠΙΑΓΩΓΕΙΟ ΒΡΑΧΑΤΙΟΥ</t>
  </si>
  <si>
    <t>mail@nip-vrach.kor.sch.gr</t>
  </si>
  <si>
    <t>ΒΡΑΧΑΤΙΟΥ</t>
  </si>
  <si>
    <t>ΕΛΕΥΘΕΡΙΟΥ ΒΕΝΙΖΕΛΟΥ 100</t>
  </si>
  <si>
    <t>2ο ΝΗΠΙΑΓΩΓΕΙΟ ΑΓΙΩΝ ΘΕΟΔΩΡΩΝ</t>
  </si>
  <si>
    <t>mail@2nip-ag-theod.kor.sch.gr</t>
  </si>
  <si>
    <t>ΑΓΙΩΝ ΘΕΟΔΩΡΩΝ</t>
  </si>
  <si>
    <t>ΠΡΑΘΙΟΥ</t>
  </si>
  <si>
    <t>1ο ΝΗΠΙΑΓΩΓΕΙΟ ΝΕΜΕΑΣ</t>
  </si>
  <si>
    <t>mail@1nip-nemeas.kor.sch.gr</t>
  </si>
  <si>
    <t>ΝΕΜΕΑΣ</t>
  </si>
  <si>
    <t>ΕΥΑΓΓΕΛΙΣΤΡΙΑΣ 21</t>
  </si>
  <si>
    <t>ΔΗΜΟΤΙΚΟ ΣΧΟΛΕΙΟ ΙΣΘΜΙΑΣ</t>
  </si>
  <si>
    <t>mail@dim-isthm.kor.sch.gr</t>
  </si>
  <si>
    <t>ΚΥΡΑΣ ΒΡΥΣΗ</t>
  </si>
  <si>
    <t>ΕΛ. ΒΕΝΙΖΕΛΟΥ 101</t>
  </si>
  <si>
    <t>2ο ΝΗΠΙΑΓΩΓΕΙΟ ΝΕΜΕΑΣ</t>
  </si>
  <si>
    <t>mail@2nip-nemeas.kor.sch.gr</t>
  </si>
  <si>
    <t>ΠΑΠΑΚΩΝΣΤΑΝΤΙΝΟΥ ΚΑΙ ΑΛΕΑΣ 14</t>
  </si>
  <si>
    <t>1ο ΝΗΠΙΑΓΩΓΕΙΟ ΖΕΥΓΟΛΑΤΕΙΟΥ</t>
  </si>
  <si>
    <t>mail@1nip-zevgol.kor.sch.gr</t>
  </si>
  <si>
    <t>ΖΕΥΓΟΛΑΤΕΙΟΥ</t>
  </si>
  <si>
    <t>ΖΕΥΓΟΛΑΤΙΟ</t>
  </si>
  <si>
    <t>ΝΗΠΙΑΓΩΓΕΙΟ ΛΕΧΑΙΟΥ - ΑΝΔΡΙΚΟΠΟΥΛΕΙΟΝ</t>
  </si>
  <si>
    <t>mail@nip-lechaiou.kor.sch.gr</t>
  </si>
  <si>
    <t>ΛΕΧΑΙΟΥ</t>
  </si>
  <si>
    <t>ΠΑΛΑΙΑ  Ε.Ο. ΚΟΡΙΝΘΟΥ-ΠΑΤΡΩΝ  530</t>
  </si>
  <si>
    <t>ΔΗΜΟΤΙΚΟ ΣΧΟΛΕΙΟ ΑΣΣΟΥ</t>
  </si>
  <si>
    <t>mail@dim-assou.kor.sch.gr</t>
  </si>
  <si>
    <t>ΑΣΣΟΣ</t>
  </si>
  <si>
    <t>Π. ΠΑΠΑΛΗΓΟΥΡΑ 32</t>
  </si>
  <si>
    <t>ΔΗΜΟΤΙΚΟ ΣΧΟΛΕΙΟ ΒΡΑΧΑΤΙΟΥ</t>
  </si>
  <si>
    <t>mail@dim-vrach.kor.sch.gr</t>
  </si>
  <si>
    <t>Βραχάτι,</t>
  </si>
  <si>
    <t>Κ.Παλαμα 33</t>
  </si>
  <si>
    <t>6ο ΔΗΜΟΤΙΚΟ ΣΧΟΛΕΙΟ ΚΟΡΙΝΘΟΥ</t>
  </si>
  <si>
    <t>mail@6dim-korinth.kor.sch.gr</t>
  </si>
  <si>
    <t>ΕΘΝΙΚΗΣ ΑΝΕΞΑΡΤΗΣΙΑΣ 27-29</t>
  </si>
  <si>
    <t>ΔΗΜΟΤΙΚΟ ΣΧΟΛΕΙΟ ΣΟΦΙΚΟΥ ΚΟΡΙΝΘΙΑΣ</t>
  </si>
  <si>
    <t>mail@dim-sofik.kor.sch.gr</t>
  </si>
  <si>
    <t>ΣΟΦΙΚΟ ΚΟΡΙΝΘΙΑΣ</t>
  </si>
  <si>
    <t>12ο ΔΗΜΟΤΙΚΟ ΣΧΟΛΕΙΟ ΚΟΡΙΝΘΟΥ</t>
  </si>
  <si>
    <t>mail@12dim-korinth.kor.sch.gr</t>
  </si>
  <si>
    <t>ΑΠΟΣΤΟΛΟΥ ΠΑΥΛΟΥ 18</t>
  </si>
  <si>
    <t>ΔΗΜΟΤΙΚΟ ΣΧΟΛΕΙΟ ΠΕΡΙΓΙΑΛΙΟΥ</t>
  </si>
  <si>
    <t>mail@dim-perig.kor.sch.gr</t>
  </si>
  <si>
    <t>ΠΕΡΙΓΙΑΛΙ</t>
  </si>
  <si>
    <t>ΚΡΟΚΙΔΑ 1 - ΠΕΡΙΓΙΑΛΙ ΚΟΡΙΝΘΙΑΣ</t>
  </si>
  <si>
    <t>1ο ΔΗΜΟΤΙΚΟ ΣΧΟΛΕΙΟ ΛΟΥΤΡΑΚΙΟΥ "ΕΛΕΥΘΕΡΙΟΣ Κ. ΒΕΝΙΖΕΛΟΣ"</t>
  </si>
  <si>
    <t>mail@1dim-loutr.kor.sch.gr</t>
  </si>
  <si>
    <t>ΤΕΡΜΑ ΜΠΟΛΕΤΗ</t>
  </si>
  <si>
    <t>2ο ΔΗΜΟΤΙΚΟ ΣΧΟΛΕΙΟ ΖΕΥΓΟΛΑΤΙΟ</t>
  </si>
  <si>
    <t>mail@2dim-zevgol.kor.sch.gr</t>
  </si>
  <si>
    <t>ΔΗΜΟΤΙΚΟ ΣΧΟΛΕΙΟ ΧΙΛΙΟΜΟΔΙΟΥ</t>
  </si>
  <si>
    <t>mail@dim-chiliom.kor.sch.gr</t>
  </si>
  <si>
    <t>ΧΙΛΙΟΜΟΔΙ</t>
  </si>
  <si>
    <t>ΑΘ. ΚΑΛΑΡΑ 6</t>
  </si>
  <si>
    <t>ΔΗΜΟΤΙΚΟ ΣΧΟΛΕΙΟ ΔΕΡΒΕΝΙΟΥ</t>
  </si>
  <si>
    <t>mail@dim-derven.kor.sch.gr</t>
  </si>
  <si>
    <t>ΞΥΛΟΚΑΣΤΡΟΥ-ΕΥΡΩΣΤΙΝΗΣ</t>
  </si>
  <si>
    <t>ΔΕΡΒΕΝΙ</t>
  </si>
  <si>
    <t>ΔΗΜΟΤΙΚΟ ΣΧΟΛΕΙΟ ΑΡΧΑΙΑΣ ΚΟΡΙΝΘΟΥ</t>
  </si>
  <si>
    <t>mail@dim-a-korinth.kor.sch.gr</t>
  </si>
  <si>
    <t>ΔΗΜΟΤΙΚΟ ΣΧΟΛΕΙΟ ΞΥΛΟΚΕΡΙΖΑΣ</t>
  </si>
  <si>
    <t>mail@dim-xyloker.kor.sch.gr</t>
  </si>
  <si>
    <t>ΞΥΛΟΚΕΡΙΖΑ</t>
  </si>
  <si>
    <t>1ο ΔΗΜΟΤΙΚΟ ΣΧΟΛΕΙΟ ΚΟΡΙΝΘΟΥ</t>
  </si>
  <si>
    <t>mail@1dim-korinth.kor.sch.gr</t>
  </si>
  <si>
    <t>Κόρινθος</t>
  </si>
  <si>
    <t>ΚΟΛΟΚΟΤΡΩΝΗ ΚΑΙ ΚΟΛΙΑΤΣΟΥ</t>
  </si>
  <si>
    <t>1ο ΔΗΜΟΤΙΚΟ ΣΧΟΛΕΙΟ ΖΕΥΓΟΛΑΤΙΟΥ</t>
  </si>
  <si>
    <t>mail@dim-zevgol.kor.sch.gr</t>
  </si>
  <si>
    <t>25ης  ΜΑΡΤΙΟΥ 5</t>
  </si>
  <si>
    <t>ΔΗΜΟΤΙΚΟ ΣΧΟΛΕΙΟ ΒΟΧΑΪΚΟΥ</t>
  </si>
  <si>
    <t>mail@dim-vochaik.kor.sch.gr</t>
  </si>
  <si>
    <t>2ο ΔΗΜΟΤΙΚΟ ΣΧΟΛΕΙΟ ΚΟΡΙΝΘΟΥ</t>
  </si>
  <si>
    <t>mail@2dim-korinth.kor.sch.gr</t>
  </si>
  <si>
    <t>Γ. ΠΑΠΑΝΔΡΕΟΥ ΚΑΙ ΠΕΡΙΑΝΔΡΟΥ</t>
  </si>
  <si>
    <t>ΔΗΜΟΤΙΚΟ ΣΧΟΛΕΙΟ ΑΛΜΥΡΗΣ</t>
  </si>
  <si>
    <t>mail@dim-peir-almyr.kor.sch.gr</t>
  </si>
  <si>
    <t>ΑΛΜΥΡΗ ΚΟΡΙΝΘΙΑΣ</t>
  </si>
  <si>
    <t>1ο ΔΗΜΟΤΙΚΟ ΣΧΟΛΕΙΟ ΑΓΙΩΝ ΘΕΟΔΩΡΩΝ</t>
  </si>
  <si>
    <t>mail@dim-ag-theod.kor.sch.gr</t>
  </si>
  <si>
    <t>ΑΓΙΟΙ ΘΕΟΔΩΡΟΙ</t>
  </si>
  <si>
    <t>ΔΗΜΟΤΙΚΟ ΣΧΟΛΕΙΟ ΛΕΧΑΙΟΥ</t>
  </si>
  <si>
    <t>mail@dim-lechaiou.kor.sch.gr</t>
  </si>
  <si>
    <t>ΛΕΧΑΙΟ</t>
  </si>
  <si>
    <t>3ο ΔΗΜΟΤΙΚΟ ΣΧΟΛΕΙΟ ΚΟΡΙΝΘΟΥ</t>
  </si>
  <si>
    <t>mail@3dim-korinth.kor.sch.gr</t>
  </si>
  <si>
    <t>ΚΥΠΡΟΥ 119</t>
  </si>
  <si>
    <t>4ο ΔΗΜΟΤΙΚΟ ΣΧΟΛΕΙΟ ΚΟΡΙΝΘΟΥ</t>
  </si>
  <si>
    <t>mail@4dim-korinth.kor.sch.gr</t>
  </si>
  <si>
    <t>ΑΠ. ΠΑΥΛΟΥ 18</t>
  </si>
  <si>
    <t>ΔΗΜΟΤΙΚΟ ΣΧΟΛΕΙΟ ΑΘΙΚΙΩΝ</t>
  </si>
  <si>
    <t>mail@dim-athik.kor.sch.gr</t>
  </si>
  <si>
    <t>ΑΘΙΚΙΑ</t>
  </si>
  <si>
    <t>ΑΘΙΚΙΑ ΝΟΜΟΥ ΚΟΡΙΝΘΙΑΣ</t>
  </si>
  <si>
    <t>1ο ΔΗΜΟΤΙΚΟ ΣΧΟΛΕΙΟ ΝΕΜΕΑΣ</t>
  </si>
  <si>
    <t>mail@1dim-nemeas.kor.sch.gr</t>
  </si>
  <si>
    <t>Νεμέα</t>
  </si>
  <si>
    <t>ΣΥΓΓΡΟΥ 3</t>
  </si>
  <si>
    <t>2ο ΔΗΜΟΤΙΚΟ ΣΧΟΛΕΙΟ ΝΕΜΕΑΣ</t>
  </si>
  <si>
    <t>mail@2dim-nemeas.kor.sch.gr</t>
  </si>
  <si>
    <t>ΝΕΜΕΑ</t>
  </si>
  <si>
    <t>ΠΑΠΑΚΩΝΣΤΑΝΤΙΝΟΥ 84</t>
  </si>
  <si>
    <t>2ο ΔΗΜΟΤΙΚΟ ΣΧΟΛΕΙΟ ΛΟΥΤΡΑΚΙΟΥ</t>
  </si>
  <si>
    <t>mail@2dim-loutr.kor.sch.gr</t>
  </si>
  <si>
    <t>Λουτράκι</t>
  </si>
  <si>
    <t>Οδυσσέα Ανδρούτσου 70</t>
  </si>
  <si>
    <t>5ο  ΔΗΜΟΤΙΚΟ ΣΧΟΛΕΙΟ ΚΟΡΙΝΘΟΥ</t>
  </si>
  <si>
    <t>mail@5dim-korinth.kor.sch.gr</t>
  </si>
  <si>
    <t>ΠΕΛΛΗΝΗΣ ΤΕΡΜΑ</t>
  </si>
  <si>
    <t>ΔΗΜΟΤΙΚΟ ΣΧΟΛΕΙΟ ΠΕΡΑΧΩΡΑΣ</t>
  </si>
  <si>
    <t>mail@dim-perach.kor.sch.gr</t>
  </si>
  <si>
    <t>Περαχώρα</t>
  </si>
  <si>
    <t>Επαρχιακή Οδός Περαχώρας - Λ. Βουλιαγμένης</t>
  </si>
  <si>
    <t>3ο ΝΗΠΙΑΓΩΓΕΙΟ ΞΥΛΟΚΑΣΤΡΟΥ</t>
  </si>
  <si>
    <t>mail@3nip-xylok.kor.sch.gr</t>
  </si>
  <si>
    <t>Ξυλόκαστρο Κορινθίας</t>
  </si>
  <si>
    <t>ΝΙΚΟΛΟΠΟΥΛΟΥ 30</t>
  </si>
  <si>
    <t>5ο ΝΗΠΙΑΓΩΓΕΙΟ ΚΙΑΤΟΥ</t>
  </si>
  <si>
    <t>mail@5nip-kiatou.kor.sch.gr</t>
  </si>
  <si>
    <t>ΣΙΚΥΩΝΙΩΝ</t>
  </si>
  <si>
    <t>ΚΙΑΤΟΥ</t>
  </si>
  <si>
    <t>ΠΑΠΑΦΛΕΣΣΑ 26</t>
  </si>
  <si>
    <t>2ο ΝΗΠΙΑΓΩΓΕΙΟ ΞΥΛΟΚΑΣΤΡΟΥ</t>
  </si>
  <si>
    <t>mail@2nip-xylok.kor.sch.gr</t>
  </si>
  <si>
    <t>ΞΥΛΟΚΑΣΤΡΟΥ</t>
  </si>
  <si>
    <t>ΠΑΤΡΩΝ 50</t>
  </si>
  <si>
    <t>1ο ΝΗΠΙΑΓΩΓΕΙΟ ΒΕΛΟΥ</t>
  </si>
  <si>
    <t>mail@1nip-velou.kor.sch.gr</t>
  </si>
  <si>
    <t>ΒΕΛΟΥ</t>
  </si>
  <si>
    <t>ΚΡΗΝΩΝ 1</t>
  </si>
  <si>
    <t>10ο ΔΗΜΟΤΙΚΟ ΣΧΟΛΕΙΟ ΚΟΡΙΝΘΟΥ</t>
  </si>
  <si>
    <t>mail@10dim-korinth.kor.sch.gr</t>
  </si>
  <si>
    <t>ΣΤΕΦΑΝΟΥ ΣΑΡΑΦΗ 80</t>
  </si>
  <si>
    <t>1ο ΝΗΠΙΑΓΩΓΕΙΟ ΞΥΛΟΚΑΣΤΡΟΥ - ΒΟΥΔΟΥΡΕΙΟ</t>
  </si>
  <si>
    <t>mail@1nip-xylok.kor.sch.gr</t>
  </si>
  <si>
    <t>ΞΥΛΟΚΑΣΤΡΟ</t>
  </si>
  <si>
    <t>Π. ΤΣΑΛΔΑΡΗ 2</t>
  </si>
  <si>
    <t>ΝΗΠΙΑΓΩΓΕΙΟ ΧΙΛΙΟΜΟΔΙΟΥ</t>
  </si>
  <si>
    <t>mail@nip-chiliom.kor.sch.gr</t>
  </si>
  <si>
    <t>ΧΙΛΙΟΜΟΔΙ ΚΟΡΙΝΘΙΑΣ</t>
  </si>
  <si>
    <t>6ο ΔΗΜΟΤΙΚΟ ΣΧΟΛΕΙΟ ΚΙΑΤΟΥ</t>
  </si>
  <si>
    <t>mail@6dim-kiatou.kor.sch.gr</t>
  </si>
  <si>
    <t>ΚΙΑΤΟ</t>
  </si>
  <si>
    <t>ΠΑΡΟΔΟΣ ΣΟΦΟΚΛΕΟΥΣ</t>
  </si>
  <si>
    <t>ΔΗΜΟΤΙΚΟ ΣΧΟΛΕΙΟ ΒΕΛΟΥ</t>
  </si>
  <si>
    <t>mail@dim-velou.kor.sch.gr</t>
  </si>
  <si>
    <t>ΒΕΛΟ</t>
  </si>
  <si>
    <t>ΕΙΚΟΣΤΗΣ ΟΓΔΟΗΣ ΟΚΤΩΒΡΙΟΥ 10</t>
  </si>
  <si>
    <t>ΔΗΜΟΤΙΚΟ ΣΧΟΛΕΙΟ ΚΑΜΑΡΙΟΥ</t>
  </si>
  <si>
    <t>mail@dim-kamar.kor.sch.gr</t>
  </si>
  <si>
    <t>ΚΑΜΑΡΙ ΚΟΡΙΝΘΙΑΣ</t>
  </si>
  <si>
    <t>7ο ΔΗΜΟΤΙΚΟ ΚΙΑΤΟΥ</t>
  </si>
  <si>
    <t>mail@7dim-kiatou.kor.sch.gr</t>
  </si>
  <si>
    <t>ΟΠΙΣΘΕΝ ΓΗΠΕΔΟΥ</t>
  </si>
  <si>
    <t>2ο ΔΗΜΟΤΙΚΟ ΣΧΟΛΕΙΟ ΚΙΑΤΟΥ</t>
  </si>
  <si>
    <t>mail@2dim-kiatou.kor.sch.gr</t>
  </si>
  <si>
    <t>3ο ΔΗΜΟΤΙΚΟ ΣΧΟΛΕΙΟ ΚΙΑΤΟΥ</t>
  </si>
  <si>
    <t>mail@3dim-kiatou.kor.sch.gr</t>
  </si>
  <si>
    <t>Κιάτο</t>
  </si>
  <si>
    <t>ΠΑΠΑΝΙΚΟΛΗ 27</t>
  </si>
  <si>
    <t>3ο ΔΗΜΟΤΙΚΟ ΣΧΟΛΕΙΟ ΞΥΛΟΚΑΣΤΡΟΥ - ΒΑΡΔΑΒΕΙΟ</t>
  </si>
  <si>
    <t>mail@3dim-xylok.kor.sch.gr</t>
  </si>
  <si>
    <t>Ξυλόκαστρο</t>
  </si>
  <si>
    <t>ΝΟΤΑΡΑ 95</t>
  </si>
  <si>
    <t>ΔΗΜΟΤΙΚΟ ΣΧΟΛΕΙΟ ΠΑΣΙΟΥ</t>
  </si>
  <si>
    <t>mail@dim-pasiou.kor.sch.gr</t>
  </si>
  <si>
    <t>ΠΑΣΙΟ</t>
  </si>
  <si>
    <t>ΔΗΜΟΤΙΚΟ ΣΧΟΛΕΙΟ ΜΟΥΛΚΙΟΥ</t>
  </si>
  <si>
    <t>mail@dim-moulk.kor.sch.gr</t>
  </si>
  <si>
    <t>ΜΟΥΛΚΙ</t>
  </si>
  <si>
    <t>ΔΗΜΟΤΙΚΟ ΣΧΟΛΕΙΟ ΚΟΚΚΩΝΙΟΥ-ΠΟΥΛΙΤΣΑΣ</t>
  </si>
  <si>
    <t>mail@dim-kokkon.kor.sch.gr</t>
  </si>
  <si>
    <t>ΚΟΚΚΩΝΙ-ΠΟΥΛΙΤΣΑ,</t>
  </si>
  <si>
    <t>ΠΟΥΛΙΤΣΑ</t>
  </si>
  <si>
    <t>1ο ΔΗΜΟΤΙΚΟ ΣΧΟΛΕΙΟ ΚΙΑΤΟΥ</t>
  </si>
  <si>
    <t>mail@1dim-kiatou.kor.sch.gr</t>
  </si>
  <si>
    <t>ΕΘΝΙΚΗΣ ΑΝΤΙΣΤΑΣΗΣ 19</t>
  </si>
  <si>
    <t>1ο ΔΗΜΟΤΙΚΟ ΣΧΟΛΕΙΟ ΞΥΛΟΚΑΣΤΡΟΥ - ΙΩΑΝΝΕΙΟ</t>
  </si>
  <si>
    <t>mail@dim-xylok.kor.sch.gr</t>
  </si>
  <si>
    <t>ΡΩΜΕΣΗ 2</t>
  </si>
  <si>
    <t>2ο ΔΗΜΟΤΙΚΟ ΣΧΟΛΕΙΟ ΞΥΛΟΚΑΣΤΡΟΥ</t>
  </si>
  <si>
    <t>mail@2dim-xylok.kor.sch.gr</t>
  </si>
  <si>
    <t>4ο ΔΗΜΟΤΙΚΟ ΣΧΟΛΕΙΟ ΚΙΑΤΟΥ</t>
  </si>
  <si>
    <t>mail@4dim-kiatou.kor.sch.gr</t>
  </si>
  <si>
    <t>ΠΕΡΙΑΝΔΡΟΥ 71</t>
  </si>
  <si>
    <t>11ο ΔΗΜΟΤΙΚΟ ΣΧΟΛΕΙΟ ΚΟΡΙΝΘΟΥ</t>
  </si>
  <si>
    <t>mail@11dim-korinth.kor.sch.gr</t>
  </si>
  <si>
    <t xml:space="preserve"> (ΚΑΛΛΙΘΕΑ) ΚΟΡΙΝΘΟΣ</t>
  </si>
  <si>
    <t>ΧΡ. ΤΣΑΜΑΝΤΑ 19</t>
  </si>
  <si>
    <t>ΝΗΠΙΑΓΩΓΕΙΟ ΑΡΧΑΙΑΣ ΣΙΚΥΩΝΑΣ</t>
  </si>
  <si>
    <t>mail@nip-sikyon.kor.sch.gr</t>
  </si>
  <si>
    <t>ΣΙΚΥΩΝΑΣ</t>
  </si>
  <si>
    <t>ΣΙΚΥΩΝΑ</t>
  </si>
  <si>
    <t>3ο ΔΗΜΟΤΙΚΟ ΣΧΟΛΕΙΟ ΛΟΥΤΡΑΚΙΟΥ</t>
  </si>
  <si>
    <t>mail@3dim-loutr.kor.sch.gr</t>
  </si>
  <si>
    <t>ΛΕΙΒΑΔΑΚΙ</t>
  </si>
  <si>
    <t>2ο ΔΗΜΟΤΙΚΟ ΣΧΟΛΕΙΟ ΑΓΙΩΝ ΘΕΟΔΩΡΩΝ</t>
  </si>
  <si>
    <t>mail@2dim-ag-theod.kor.sch.gr</t>
  </si>
  <si>
    <t>ΚΡΟΜΜΥΩΝΟΣ</t>
  </si>
  <si>
    <t>5ο ΝΗΠΙΑΓΩΓΕΙΟ ΛΟΥΤΡΑΚΙΟΥ</t>
  </si>
  <si>
    <t>mail@5nip-loutr.kor.sch.gr</t>
  </si>
  <si>
    <t>ΛΙΒΑΔΑΚΙ</t>
  </si>
  <si>
    <t>14ο ΔΗΜΟΤΙΚΟ ΣΧΟΛΕΙΟ ΚΟΡΙΝΘΟΥ</t>
  </si>
  <si>
    <t>mail@14dim-korinth.kor.sch.gr</t>
  </si>
  <si>
    <t>Κόρινθος,</t>
  </si>
  <si>
    <t>ΙΠΠΟΚΡΑΤΟΥΣ ΚΑΙ ΡΕΑΣ</t>
  </si>
  <si>
    <t>ΔΗΜΟΤΙΚΟ ΣΧΟΛΕΙΟ ΚΑΛΛΙΑΝΩΝ  ΚΟΡΙΝΘΙΑΣ</t>
  </si>
  <si>
    <t>mail@dim-kalian.kor.sch.gr</t>
  </si>
  <si>
    <t xml:space="preserve">ΚΑΛΛΙΑΝΟΙ </t>
  </si>
  <si>
    <t>ΚΑΛΛΙΑΝΟΙ</t>
  </si>
  <si>
    <t>Π.Ε. ΛΑΚΩΝΙΑΣ</t>
  </si>
  <si>
    <t>ΔΗΜΟΤΙΚΟ ΣΧΟΛΕΙΟ ΜΑΓΟΥΛΑΣ ΣΠΑΡΤΗΣ</t>
  </si>
  <si>
    <t>dimagou@sch.gr</t>
  </si>
  <si>
    <t>ΣΠΑΡΤΗΣ</t>
  </si>
  <si>
    <t>ΠΛΑΤΕΙΑ ΜΑΓΟΥΛΑΣ</t>
  </si>
  <si>
    <t>ΔΗΜΟΤΙΚΟ ΣΧΟΛΕΙΟ ΝΙΑΤΩΝ-ΑΓΙΟΥ ΔΗΜΗΤΡΙΟΥ</t>
  </si>
  <si>
    <t>mail@dim-niaton.lak.sch.gr</t>
  </si>
  <si>
    <t>ΕΥΡΩΤΑ</t>
  </si>
  <si>
    <t>ΝΙΑΤΑ- ΑΓΙΟΣ  ΔΗΜΗΤΡΙΟΣ</t>
  </si>
  <si>
    <t>ΝΙΑΤΑ ΛΑΚΩΝΙΑΣ</t>
  </si>
  <si>
    <t>8ο ΝΗΠΙΑΓΩΓΕΙΟ ΣΠΑΡΤΗΣ</t>
  </si>
  <si>
    <t>mail@8nip-spart.lak.sch.gr</t>
  </si>
  <si>
    <t>ΤΡΙΑΚΟΣΙΩΝ  ΚΑΙ ΘΙΒΡΩΝΟΣ  ΣΠΑΡΤΗ 105</t>
  </si>
  <si>
    <t>3ο ΔΗΜΟΤΙΚΟ ΣΧΟΛΕΙΟ ΓΥΘΕΙΟΥ</t>
  </si>
  <si>
    <t>mail@dim-mavrov.lak.sch.gr</t>
  </si>
  <si>
    <t>ΑΝΑΤΟΛΙΚΗΣ ΜΑΝΗΣ</t>
  </si>
  <si>
    <t>ΓΥΘΕΙΟ</t>
  </si>
  <si>
    <t>ΜΑΥΡΟΒΟΥΝΙ</t>
  </si>
  <si>
    <t>ΝΗΠΙΑΓΩΓΕΙΟ ΜΑΥΡΟΒΟΥΝΙΟΥ</t>
  </si>
  <si>
    <t>mail@nip-mavrov.lak.sch.gr</t>
  </si>
  <si>
    <t>ΜΑΥΡΟΒΟΥΝΙΟΥ</t>
  </si>
  <si>
    <t>ΜΑΥΡΟΒΟΥΝΙ  ΓΥΘΕΙΟΥ</t>
  </si>
  <si>
    <t>2ο ΝΗΠΙΑΓΩΓΕΙΟ ΣΚΑΛΑΣ</t>
  </si>
  <si>
    <t>mail@2nip-skalas.lak.sch.gr</t>
  </si>
  <si>
    <t>ΣΚΑΛΑΣ</t>
  </si>
  <si>
    <t>ΣΚΑΛΑ ΛΑΚΩΝΙΑΣ</t>
  </si>
  <si>
    <t>1ο ΔΗΜΟΤΙΚΟ ΣΧΟΛΕΙΟ ΣΚΑΛΑΣ</t>
  </si>
  <si>
    <t>mail@dim-skalas.lak.sch.gr</t>
  </si>
  <si>
    <t>1ο ΔΗΜΟΤΙΚΟ ΣΧΟΛΕΙΟ ΣΠΑΡΤΗΣ - ΗΡΩ ΚΩΝΣΤΑΝΤΟΠΟΥΛΟΥ</t>
  </si>
  <si>
    <t>mail@1dim-spart.lak.sch.gr</t>
  </si>
  <si>
    <t>ΣΠΑΡΤΗ</t>
  </si>
  <si>
    <t>ΠΛΑΤΑΝΙΣΤΑ 21</t>
  </si>
  <si>
    <t>1ο ΝΗΠΙΑΓΩΓΕΙΟ ΣΚΑΛΑΣ</t>
  </si>
  <si>
    <t>mail@1nip-skalas.lak.sch.gr</t>
  </si>
  <si>
    <t>ΣΚΑΛΑ  ΛΑΚΩΝΙΑΣ</t>
  </si>
  <si>
    <t>1ο ΝΗΠΙΑΓΩΓΕΙΟ ΜΟΛΑΩΝ</t>
  </si>
  <si>
    <t>mail@1nip-molaon.lak.sch.gr</t>
  </si>
  <si>
    <t>ΜΟΝΕΜΒΑΣΙΑΣ</t>
  </si>
  <si>
    <t>ΜΟΛΑΟΙ</t>
  </si>
  <si>
    <t>ΜΟΛΑΟΙ ΛΑΚΩΝΙΑΣ</t>
  </si>
  <si>
    <t>ΔΗΜΟΤΙΚΟ ΣΧΟΛΕΙΟ ΠΕΤΡΙΝΑΣ</t>
  </si>
  <si>
    <t>mail@dim-petrin.lak.sch.gr</t>
  </si>
  <si>
    <t>ΠΕΤΡΙΝΑ ΛΑΚΩΝΙΑΣ</t>
  </si>
  <si>
    <t>ΠΕΤΡΙΝΑ</t>
  </si>
  <si>
    <t>2ο ΔΗΜΟΤΙΚΟ ΣΧΟΛΕΙΟ ΣΚΑΛΑΣ</t>
  </si>
  <si>
    <t>mail@2dim-skalas.lak.sch.gr</t>
  </si>
  <si>
    <t>ΔΗΜΟΤΙΚΟ ΣΧΟΛΕΙΟ  ΜΥΣΤΡΑ - ΑΓΙΟΥ ΙΩΑΝΝΗ</t>
  </si>
  <si>
    <t>mail@dim-mystra.lak.sch.gr</t>
  </si>
  <si>
    <t>Δ.Δ. ΑΓΙΟΥ  ΙΩΑΝΝΗ ΣΠΑΡΤΗΣ</t>
  </si>
  <si>
    <t>231 50</t>
  </si>
  <si>
    <t>ΝΗΠΙΑΓΩΓΕΙΟ ΒΛΑΧΙΩΤΗ</t>
  </si>
  <si>
    <t>mail@nip-vlach.lak.sch.gr</t>
  </si>
  <si>
    <t>ΒΛΑΧΙΩΤΗ</t>
  </si>
  <si>
    <t>ΒΛΑΧΙΩΤΗΣ ΛΑΚΩΝΙΑΣ</t>
  </si>
  <si>
    <t>ΝΗΠΙΑΓΩΓΕΙΟ ΑΡΕΟΠΟΛΗΣ</t>
  </si>
  <si>
    <t>mail@1nip-areop.lak.sch.gr</t>
  </si>
  <si>
    <t>ΑΡΕΟΠΟΛΗΣ</t>
  </si>
  <si>
    <t>ΑΡΕΟΠΟΛΗ ΛΑΚΩΝΙΑΣ</t>
  </si>
  <si>
    <t>5ο ΔΗΜΟΤΙΚΟ ΣΧΟΛΕΙΟ ΣΠΑΡΤΗΣ</t>
  </si>
  <si>
    <t>mail@5dim-spart.lak.sch.gr</t>
  </si>
  <si>
    <t>ΤΡΙΑΚΟΣΙΩΝ  ΚΑΙ  ΘΙΒΡΩΝΟΣ 105</t>
  </si>
  <si>
    <t>7ο ΔΗΜΟΤΙΚΟ ΣΧΟΛΕΙΟ ΣΠΑΡΤΗΣ</t>
  </si>
  <si>
    <t>mail@dim-kalog.lak.sch.gr</t>
  </si>
  <si>
    <t>ΚΑΛΟΓΩΝΙΑ-ΣΠΑΡΤΗΣ</t>
  </si>
  <si>
    <t>ΔΗΜΟΤΙΚΟ ΣΧΟΛΕΙΟ ΚΡΟΚΕΩΝ</t>
  </si>
  <si>
    <t>mail@dim-krokeon.lak.sch.gr</t>
  </si>
  <si>
    <t>ΚΡΟΚΕΕΣ</t>
  </si>
  <si>
    <t>ΚΡΟΚΕΕΣ ΛΑΚΩΝΙΑΣ</t>
  </si>
  <si>
    <t>2ο ΔΗΜΟΤΙΚΟ ΣΧΟΛΕΙΟ ΓΥΘΕΙΟΥ</t>
  </si>
  <si>
    <t>mail@2dim-gytheiou.lak.sch.gr</t>
  </si>
  <si>
    <t>ΕΡΜΟΥ ΚΑΙ ΗΡΑΚΛΕΟΥΣ  ΓΥΘΕΙΟ</t>
  </si>
  <si>
    <t>ΝΗΠΙΑΓΩΓΕΙΟ ΓΕΡΑΚΙΟΥ ΛΑΚΩΝΙΑΣ</t>
  </si>
  <si>
    <t>mail@nip-gerak.lak.sch.gr</t>
  </si>
  <si>
    <t>ΓΕΡΑΚΙΟΥ</t>
  </si>
  <si>
    <t>ΓΕΡΑΚΙ ΛΑΚΩΝΙΑΣ</t>
  </si>
  <si>
    <t>ΔΗΜΟΤΙΚΟ ΣΧΟΛΕΙΟ ΑΡΕΟΠΟΛΗΣ</t>
  </si>
  <si>
    <t>mail@dim-areop.lak.sch.gr</t>
  </si>
  <si>
    <t>ΑΡΕΟΠΟΛΗ</t>
  </si>
  <si>
    <t>ΔΗΜΟΤΙΚΟ ΣΧΟΛΕΙΟ ΒΛΑΧΙΩΤΗ</t>
  </si>
  <si>
    <t>mail@dim-vlach.lak.sch.gr</t>
  </si>
  <si>
    <t>ΒΛΑΧΙΩΤΗΣ</t>
  </si>
  <si>
    <t>ΔΗΜΟΤΙΚΟ ΣΧΟΛΕΙΟ ΓΚΟΡΙΤΣΑΣ - ΣΚΟΥΡΑΣ</t>
  </si>
  <si>
    <t>dimgor@sch.gr</t>
  </si>
  <si>
    <t>Γκοριτσά Σπάρτης</t>
  </si>
  <si>
    <t>ΓΚΟΡΙΤΣΑ  ΛΑΚΩΝΙΑΣ</t>
  </si>
  <si>
    <t>ΔΗΜΟΤΙΚΟ ΣΧΟΛΕΙΟ ΞΗΡΟΚΑΜΠΙΟΥ</t>
  </si>
  <si>
    <t>mail@dim-xirok.lak.sch.gr</t>
  </si>
  <si>
    <t>ΞΗΡΟΚΑΜΠΙΟΥ</t>
  </si>
  <si>
    <t>ΞΗΡΟΚΑΜΠΙ   ΛΑΚΩΝΙΑΣ</t>
  </si>
  <si>
    <t>2ο ΔΗΜΟΤΙΚΟ ΣΧΟΛΕΙΟ ΣΠΑΡΤΗΣ</t>
  </si>
  <si>
    <t>mail@2dim-spart.lak.sch.gr</t>
  </si>
  <si>
    <t>ΚΩΝΣΤΑΝΤΙΝΟΥ ΠΑΛΑΙΟΛΟΓΟΥ 136</t>
  </si>
  <si>
    <t>3ο ΔΗΜΟΤΙΚΟ ΣΧΟΛΕΙΟ ΣΠΑΡΤΗΣ</t>
  </si>
  <si>
    <t>mail@3dim-spart.lak.sch.gr</t>
  </si>
  <si>
    <t>ΓΚΟΡΤΣΟΛΟΓΟΥ 4</t>
  </si>
  <si>
    <t>4ο ΔΗΜΟΤΙΚΟ ΣΧΟΛΕΙΟ ΣΠΑΡΤΗΣ</t>
  </si>
  <si>
    <t>mail@4dim-spart.lak.sch.gr</t>
  </si>
  <si>
    <t>ΕΥΡΥΒΙΑΔΟΥ 25</t>
  </si>
  <si>
    <t>ΝΗΠΙΑΓΩΓΕΙΟ ΞΗΡΟΚΑΜΠΙΟΥ</t>
  </si>
  <si>
    <t>mail@nip-xirok.lak.sch.gr</t>
  </si>
  <si>
    <t>ΞΗΡΟΚΑΜΠΙ</t>
  </si>
  <si>
    <t>ΔΗΜΟΤΙΚΟ ΣΧΟΛΕΙΟ ΣΥΚΕΑΣ - ΜΕΤΑΜΟΡΦΩΣΗΣ</t>
  </si>
  <si>
    <t>mail@dim-sykeas.lak.sch.gr</t>
  </si>
  <si>
    <t>ΣΥΚΕΑ - ΜΕΤΑΜΟΡΦΩΣΗ</t>
  </si>
  <si>
    <t>ΣΥΚΕΑ ΛΑΚΩΝΙΑΣ</t>
  </si>
  <si>
    <t>ΔΗΜΟΤΙΚΟ ΣΧΟΛΕΙΟ ΠΑΠΑΔΙΑΝΙΚΩΝ</t>
  </si>
  <si>
    <t>mail@dim-papad.lak.sch.gr</t>
  </si>
  <si>
    <t>ΠΑΠΑΔΙΑΝΙΚΑ</t>
  </si>
  <si>
    <t>ΠΑΠΑΔΙΑΝΙΚΑ ΛΑΚΩΝΙΑΣ</t>
  </si>
  <si>
    <t>ΔΗΜΟΤΙΚΟ ΣΧΟΛΕΙΟ ΑΣΩΠΟΥ-ΦΟΙΝΙΚΙΟΥ</t>
  </si>
  <si>
    <t>mail@dim-asopou.lak.sch.gr</t>
  </si>
  <si>
    <t>ΑΣΩΠΟΣ</t>
  </si>
  <si>
    <t>ΑΣΩΠΟΣ ΛΑΚΩΝΙΑΣ</t>
  </si>
  <si>
    <t>ΔΗΜΟΤΙΚΟ ΣΧΟΛΕΙΟ ΜΟΝΕΜΒΑΣΙΑΣ</t>
  </si>
  <si>
    <t>mail@dim-monemv.lak.sch.gr</t>
  </si>
  <si>
    <t>ΜΟΝΕΜΒΑΣΙΑ</t>
  </si>
  <si>
    <t>ΜΟΝΕΜΒΑΣΙΑ ΛΑΚΩΝΙΑΣ</t>
  </si>
  <si>
    <t>7ο ΝΗΠΙΑΓΩΓΕΙΟ ΣΠΑΡΤΗΣ</t>
  </si>
  <si>
    <t>mail@nip-spart.lak.sch.gr</t>
  </si>
  <si>
    <t>ΟΘΩΝΟΣ ΑΜΑΛΙΑΣ 75</t>
  </si>
  <si>
    <t>ΔΗΜΟΤΙΚΟ ΣΧΟΛΕΙΟ ΚΑΜΠΟΥ ΒΟΙΩΝ</t>
  </si>
  <si>
    <t>mail@dim-kampou.lak.sch.gr</t>
  </si>
  <si>
    <t>ΚΑΜΠΟΣ  ΒΟΙΩΝ ΛΑΚΩΝΙΑΣ</t>
  </si>
  <si>
    <t>ΚΑΜΠΟΣ ΒΟΙΩΝ ΛΑΚΩΝΙΑΣ</t>
  </si>
  <si>
    <t>ΔΗΜΟΤΙΚΟ ΣΧΟΛΕΙΟ ΓΕΡΑΚΙΟΥ ΛΑΚΩΝΙΑΣ</t>
  </si>
  <si>
    <t>mail@dim-gerak.lak.sch.gr</t>
  </si>
  <si>
    <t>ΓΕΡΑΚΙ</t>
  </si>
  <si>
    <t>ΓΕΡΑΚΙ  ΛΑΚΩΝΙΑΣ</t>
  </si>
  <si>
    <t>ΔΗΜΟΤΙΚΟ ΣΧΟΛΕΙΟ ΝΕΑΠΟΛΗΣ</t>
  </si>
  <si>
    <t>mail@dim-neapol.lak.sch.gr</t>
  </si>
  <si>
    <t>ΦΛΕΜΙΓΚ ΚΑΙ ΑΓΙΟΥ ΝΙΚΟΛΑΟΥ 1</t>
  </si>
  <si>
    <t>1ο ΔΗΜΟΤΙΚΟ ΣΧΟΛΕΙΟ ΓΥΘΕΙΟΥ</t>
  </si>
  <si>
    <t>mail@1dim-gytheiou.lak.sch.gr</t>
  </si>
  <si>
    <t>ΛΑΡΥΣΙΟΥ ΚΑΙ ΓΡΗΓΟΡΑΚΗ</t>
  </si>
  <si>
    <t>ΔΗΜΟΤΙΚΟ ΣΧΟΛΕΙΟ ΜΟΛΑΩΝ</t>
  </si>
  <si>
    <t>mail@dim-molaon.lak.sch.gr</t>
  </si>
  <si>
    <t>ΔΗΜΟΤΙΚΟ ΣΧΟΛΕΙΟ ΓΛΥΚΟΒΡΥΣΗΣ</t>
  </si>
  <si>
    <t>mail@dim-glykovr.lak.sch.gr</t>
  </si>
  <si>
    <t>ΓΛΥΚΟΒΡΥΣΗ</t>
  </si>
  <si>
    <t>ΓΛΥΚΟΒΡΥΣΗ  ΛΑΚΩΝΙΑΣ</t>
  </si>
  <si>
    <t>1ο  ΝΗΠΙΑΓΩΓΕΙΟ ΝΕΑΠΟΛΗΣ</t>
  </si>
  <si>
    <t>mail@1nip-neapol.lak.sch.gr</t>
  </si>
  <si>
    <t>ΝΕΑΠΟΛΗ ΔΗΜΟΥ ΜΟΝΕΜΒΑΣΙΑΣ</t>
  </si>
  <si>
    <t>ΟΔΟΣ ΑΡΧΙΜΗΔΟΥΣ</t>
  </si>
  <si>
    <t>12ο ΝΗΠΙΑΓΩΓΕΙΟ ΣΠΑΡΤΗΣ</t>
  </si>
  <si>
    <t>mail@12nip-spart.lak.sch.gr</t>
  </si>
  <si>
    <t>2ο χλμ. Ε.Ο. Σπάρτης - Γυθείου</t>
  </si>
  <si>
    <t>2ο  ΝΗΠΙΑΓΩΓΕΙΟ ΝΕΑΠΟΛΗΣ</t>
  </si>
  <si>
    <t>mail@2nip-neapol.lak.sch.gr</t>
  </si>
  <si>
    <t>ΑΡΧΙΜΗΔΟΥΣ -</t>
  </si>
  <si>
    <t>Π.Ε. ΜΕΣΣΗΝΙΑΣ</t>
  </si>
  <si>
    <t>1ο ΔΗΜΟΤΙΚΟ ΣΧΟΛΕΙΟ ΜΕΣΣΗΝΗΣ</t>
  </si>
  <si>
    <t>mail@1dim-messin.mes.sch.gr</t>
  </si>
  <si>
    <t>ΜΕΣΣΗΝΗΣ</t>
  </si>
  <si>
    <t>ΜΕΣΣΗΝΗ</t>
  </si>
  <si>
    <t>ΕΥΞΕΙΝΟΥ ΠΟΝΤΟΥ 2</t>
  </si>
  <si>
    <t>26ο ΝΗΠΙΑΓΩΓΕΙΟ ΚΑΛΑΜΑΤΑΣ</t>
  </si>
  <si>
    <t>mail@26nip-kalam.mes.sch.gr</t>
  </si>
  <si>
    <t>ΚΑΛΑΜΑΤΑΣ</t>
  </si>
  <si>
    <t>1η ΠΑΡΟΔΟΣ ΑΥΡΑΣ</t>
  </si>
  <si>
    <t>8ο ΝΗΠΙΑΓΩΓΕΙΟ ΚΑΛΑΜΑΤΑΣ</t>
  </si>
  <si>
    <t>mail@8nip-kalam.mes.sch.gr</t>
  </si>
  <si>
    <t>ΚΑΛΑΜΑΤΑ</t>
  </si>
  <si>
    <t>ΚΡΗΤΗΣ   46</t>
  </si>
  <si>
    <t>16ο ΔΗΜΟΤΙΚΟ ΣΧΟΛΕΙΟ ΚΑΛΑΜΑΤΑΣ</t>
  </si>
  <si>
    <t>mail@16dim-kalam.mes.sch.gr</t>
  </si>
  <si>
    <t>ΚΑΡΚΑΛΗ  &amp; ΔΕΛΜΟΥΖΟΥ ΑΓΙΑ ΤΡΙΑΔΑ</t>
  </si>
  <si>
    <t>1ο ΔΗΜΟΤΙΚΟ ΣΧΟΛΕΙΟ ΚΑΛΑΜΑΤΑΣ</t>
  </si>
  <si>
    <t>mail@1dim-kalam.mes.sch.gr</t>
  </si>
  <si>
    <t>ΠΑΛΑΙΟΛΟΓΟΥ ΚΑΙ ΚΑΛΛΙΠΑΤΕΙΡΑΣ</t>
  </si>
  <si>
    <t>12ο ΝΗΠΙΑΓΩΓΕΙΟ ΚΑΛΑΜΑΤΑΣ</t>
  </si>
  <si>
    <t>mail@12nip-kalam.mes.sch.gr</t>
  </si>
  <si>
    <t>Δ ΠΑΡΟΔΟΣ ΠΛΕΥΝΑΣ</t>
  </si>
  <si>
    <t>3ο ΝΗΠΙΑΓΩΓΕΙΟ ΚΥΠΑΡΙΣΣΙΑΣ</t>
  </si>
  <si>
    <t>mail@3nip-kypar.mes.sch.gr</t>
  </si>
  <si>
    <t>ΤΡΙΦΥΛΙΑΣ</t>
  </si>
  <si>
    <t>ΚΥΠΑΡΙΣΣΙΑ</t>
  </si>
  <si>
    <t>2ο ΔΗΜΟΤΙΚΟ ΣΧΟΛΕΙΟ ΚΑΛΑΜΑΤΑΣ</t>
  </si>
  <si>
    <t>mail@2dim-kalam.mes.sch.gr</t>
  </si>
  <si>
    <t>ΒΥΡΩΝΟΣ 2</t>
  </si>
  <si>
    <t>ΔΗΜΟΤΙΚΟ ΣΧΟΛΕΙΟ ΜΕΛΙΓΑΛΑ</t>
  </si>
  <si>
    <t>mail@dim-melig.mes.sch.gr</t>
  </si>
  <si>
    <t>ΟΙΧΑΛΙΑΣ</t>
  </si>
  <si>
    <t>ΜΕΛΙΓΑΛΑΣ</t>
  </si>
  <si>
    <t>3ο ΔΗΜΟΤΙΚΟ ΣΧΟΛΕΙΟ ΜΕΣΣΗΝΗΣ</t>
  </si>
  <si>
    <t>mail@3dim-messin.mes.sch.gr</t>
  </si>
  <si>
    <t>ΣΤΑΔΙΟΥ 45</t>
  </si>
  <si>
    <t>19ο ΔΗΜΟΤΙΚΟ ΣΧΟΛΕΙΟ ΚΑΛΑΜΑΤΑΣ</t>
  </si>
  <si>
    <t>mail@19dim-kalam.mes.sch.gr</t>
  </si>
  <si>
    <t>ΗΡΟΔΟΤΟΥ 2 &amp; ΑΡΙΣΤΟΜΕΝΟΥΣ</t>
  </si>
  <si>
    <t>ΔΗΜΟΤΙΚΟ ΣΧΟΛΕΙΟ ΠΑΡΑΛΙΑΣ ΒΕΡΓΑΣ</t>
  </si>
  <si>
    <t>mail@dim-paral.mes.sch.gr</t>
  </si>
  <si>
    <t>ΠΑΡΑΛΙΑ ΒΕΡΓΑΣ</t>
  </si>
  <si>
    <t>2ο ΔΗΜΟΤΙΚΟ ΣΧΟΛΕΙΟ ΧΩΡΑΣ</t>
  </si>
  <si>
    <t>mail@2dim-choras.mes.sch.gr</t>
  </si>
  <si>
    <t>ΠΥΛΟΥ-ΝΕΣΤΟΡΟΣ</t>
  </si>
  <si>
    <t>Χώρα</t>
  </si>
  <si>
    <t>ΝΙΚΟΛΑΟΥ ΒΕΛΕ 8</t>
  </si>
  <si>
    <t>5ο ΔΗΜΟΤΙΚΟ ΣΧΟΛΕΙΟ ΚΑΛΑΜΑΤΑΣ -ΜΠΕΝΑΚΕΙΟ</t>
  </si>
  <si>
    <t>mail@5dim-kalam.mes.sch.gr</t>
  </si>
  <si>
    <t>ΑΡΤΕΜΙΔΟΣ 82</t>
  </si>
  <si>
    <t>3ο ΔΗΜΟΤΙΚΟ ΣΧΟΛΕΙΟ ΦΙΛΙΑΤΡΩΝ</t>
  </si>
  <si>
    <t>mail@3dim-filiatr.mes.sch.gr</t>
  </si>
  <si>
    <t>Φιλιατρά</t>
  </si>
  <si>
    <t>ΤΑΓΜΑΤΑΡΧΗ ΓΑΛΑΝΟΠΟΥΛΟΥ</t>
  </si>
  <si>
    <t>24ο ΝΗΠΙΑΓΩΓΕΙΟ ΚΑΛΑΜΑΤΑΣ</t>
  </si>
  <si>
    <t>mail@24nip-kalam.mes.sch.gr</t>
  </si>
  <si>
    <t>ΛΙΛΗΣ ΖΩΓΡΑΦΟΥ 8</t>
  </si>
  <si>
    <t>2ο ΔΗΜΟΤΙΚΟ ΣΧΟΛΕΙΟ ΦΙΛΙΑΤΡΩΝ</t>
  </si>
  <si>
    <t>2dimfil@sch.gr</t>
  </si>
  <si>
    <t>ΦΙΛΙΑΤΡΑ</t>
  </si>
  <si>
    <t>ΒΟΡΕΙΟΥ ΗΠΕΙΡΟΥ 2</t>
  </si>
  <si>
    <t>ΔΗΜΟΤΙΚΟ ΣΧΟΛΕΙΟ ΘΟΥΡΙΑΣ</t>
  </si>
  <si>
    <t>mail@dim-thourias.mes.sch.gr</t>
  </si>
  <si>
    <t>ΘΟΥΡΙΑ</t>
  </si>
  <si>
    <t>14ο ΔΗΜΟΤΙΚΟ ΣΧΟΛΕΙΟ ΚΑΛΑΜΑΤΑΣ</t>
  </si>
  <si>
    <t>mail@14dim-kalam.mes.sch.gr</t>
  </si>
  <si>
    <t>ΔΗΜΗΤΡΑΣ 53</t>
  </si>
  <si>
    <t>5ο ΝΗΠΙΑΓΩΓΕΙΟ ΚΑΛΑΜΑΤΑΣ</t>
  </si>
  <si>
    <t>mail@5nip-kalam.mes.sch.gr</t>
  </si>
  <si>
    <t>ΘΟΥΚΥΔΙΔΟΥ 13</t>
  </si>
  <si>
    <t>1ο ΔΗΜΟΤΙΚΟ ΣΧΟΛΕΙΟ ΦΙΛΙΑΤΡΩΝ</t>
  </si>
  <si>
    <t>mail@1dim-filiatr.mes.sch.gr</t>
  </si>
  <si>
    <t>ΑΝΑΠΑΥΣΕΩΣ 2</t>
  </si>
  <si>
    <t>18ο ΝΗΠΙΑΓΩΓΕΙΟ ΚΑΛΑΜΑΤΑΣ</t>
  </si>
  <si>
    <t>mail@18nip-kalam.mes.sch.gr</t>
  </si>
  <si>
    <t>Γ. ΤΑΒΟΥΛΑΡΕΑ - ΚΗΠΟΣ ΑΛΑΧ 8</t>
  </si>
  <si>
    <t>3ο ΔΗΜΟΤΙΚΟ ΣΧΟΛΕΙΟ ΚΑΛΑΜΑΤΑΣ</t>
  </si>
  <si>
    <t>mail@3dim-kalam.mes.sch.gr</t>
  </si>
  <si>
    <t>ΑΚΡΙΤΑ 4</t>
  </si>
  <si>
    <t>10ο ΠΕΙΡΑΜΑΤΙΚΟ ΔΗΜΟΤΙΚΟ ΣΧΟΛΕΙΟ ΚΑΛΑΜΑΤΑΣ - "ΠΕΤΡΟΣ ΘΕΜΕΛΗΣ"</t>
  </si>
  <si>
    <t>mail@10dim-kalam.mes.sch.gr</t>
  </si>
  <si>
    <t>Κρήτης 46</t>
  </si>
  <si>
    <t>21ο ΝΗΠΙΑΓΩΓΕΙΟ ΚΑΛΑΜΑΤΑΣ</t>
  </si>
  <si>
    <t>mail@21nip-kalam.mes.sch.gr</t>
  </si>
  <si>
    <t>ΣΩΚΡΑΤΟΥΣ ΚΑΙ ΜΕΓΑΛΟΥ ΑΛΕΞΑΝΔΡΟΥ</t>
  </si>
  <si>
    <t>9ο ΝΗΠΙΑΓΩΓΕΙΟ ΚΑΛΑΜΑΤΑΣ</t>
  </si>
  <si>
    <t>mail@9nip-kalam.mes.sch.gr</t>
  </si>
  <si>
    <t>ΣΩΚΡΑΤΟΥΣ ΚΑΙ ΜΕΓΑΛΟΥ ΑΛΕΞΑΝΔΡΟΥ ΚΑΛΑΜΑΤΑ</t>
  </si>
  <si>
    <t>ΝΗΠΙΑΓΩΓΕΙΟ ΠΑΡΑΛΙΑΣ ΒΕΡΓΑΣ</t>
  </si>
  <si>
    <t>mail@nip-paral.mes.sch.gr</t>
  </si>
  <si>
    <t>7ο ΔΗΜΟΤΙΚΟ ΣΧΟΛΕΙΟ ΚΑΛΑΜΑΤΑΣ</t>
  </si>
  <si>
    <t>mail@7dim-kalam.mes.sch.gr</t>
  </si>
  <si>
    <t>ΑΚΡΙΤΑ 118</t>
  </si>
  <si>
    <t>24ο ΔΗΜΟΤΙΚΟ ΣΧΟΛΕΙΟ ΚΑΛΑΜΑΤΑΣ</t>
  </si>
  <si>
    <t>24dimkal@sch.gr</t>
  </si>
  <si>
    <t>ΨΑΡΩΝ ΚΑΙ ΜΑΚΕΔΟΝΙΑΣ</t>
  </si>
  <si>
    <t>6ο ΔΗΜΟΤΙΚΟ ΣΧΟΛΕΙΟ ΚΑΛΑΜΑΤΑΣ</t>
  </si>
  <si>
    <t>mail@6dim-kalam.mes.sch.gr</t>
  </si>
  <si>
    <t>ΕΛΕΑΒΟΥΛΚΟΥ 24</t>
  </si>
  <si>
    <t>2ο ΔΗΜΟΤΙΚΟ ΣΧΟΛΕΙΟ ΚΥΠΑΡΙΣΣΙΑΣ</t>
  </si>
  <si>
    <t>mail@2dim-kypar.mes.sch.gr</t>
  </si>
  <si>
    <t>ΑΝΩ ΠΟΛΗ</t>
  </si>
  <si>
    <t>20ο ΝΗΠΙΑΓΩΓΕΙΟ ΚΑΛΑΜΑΤΑΣ</t>
  </si>
  <si>
    <t>mail@20nip-kalam.mes.sch.gr</t>
  </si>
  <si>
    <t>ΦΙΛΛΕΛΛΗΝΩΝ ΚΑΙ ΣΟΦΟΚΛΕΟΥΣ 1</t>
  </si>
  <si>
    <t>1ο ΝΗΠΙΑΓΩΓΕΙΟ ΠΥΛΟΥ</t>
  </si>
  <si>
    <t>mail@1nip-pylou.mes.sch.gr</t>
  </si>
  <si>
    <t>ΠΥΛΟΣ</t>
  </si>
  <si>
    <t>12ο ΔΗΜΟΤΙΚΟ ΣΧΟΛΕΙΟ ΚΑΛΑΜΑΤΑΣ</t>
  </si>
  <si>
    <t>mail@12dim-kalam.mes.sch.gr</t>
  </si>
  <si>
    <t>ΑΛΑΜΑΝΑΣ 10</t>
  </si>
  <si>
    <t>1ο ΝΗΠΙΑΓΩΓΕΙΟ ΚΥΠΑΡΙΣΣΙΑΣ</t>
  </si>
  <si>
    <t>mail@1nip-kypar.mes.sch.gr</t>
  </si>
  <si>
    <t>ΔΗΜ. ΖΗΡΑ</t>
  </si>
  <si>
    <t>1ο ΔΗΜΟΤΙΚΟ ΣΧΟΛΕΙΟ ΚΥΠΑΡΙΣΣΙΑΣ</t>
  </si>
  <si>
    <t>mail@1dim-kypar.mes.sch.gr</t>
  </si>
  <si>
    <t>Κυπαρισσία</t>
  </si>
  <si>
    <t>Ανδρέα Λαμπρόπουλου 17</t>
  </si>
  <si>
    <t>1ο ΔΗΜΟΤΙΚΟ ΣΧΟΛΕΙΟ ΓΑΡΓΑΛΙΑΝΩΝ</t>
  </si>
  <si>
    <t>mail@1dim-gargal.mes.sch.gr</t>
  </si>
  <si>
    <t>ΓΑΡΓΑΛΙΑΝΟΙ</t>
  </si>
  <si>
    <t>ΚΥΡΗΝΕΙΑΣ 2</t>
  </si>
  <si>
    <t>1ο ΔΗΜΟΤΙΚΟ ΣΧΟΛΕΙΟ ΔΥΤΙΚΗΣ ΜΑΝΗΣ "ΠΑΝΑΓΙΩΤΗΣ ΦΩΤΕΑΣ"</t>
  </si>
  <si>
    <t>1dsdm@sch.gr</t>
  </si>
  <si>
    <t>ΔΥΤΙΚΗΣ ΜΑΝΗΣ</t>
  </si>
  <si>
    <t>ΣΤΟΥΠΑ</t>
  </si>
  <si>
    <t>13ο ΝΗΠΙΑΓΩΓΕΙΟ ΚΑΛΑΜΑΤΑΣ</t>
  </si>
  <si>
    <t>mail@13nip-kalam.mes.sch.gr</t>
  </si>
  <si>
    <t>Ομήρου και Μαιζώνος</t>
  </si>
  <si>
    <t>2ο ΔΗΜΟΤΙΚΟ ΣΧΟΛΕΙΟ ΓΑΡΓΑΛΙΑΝΩΝ</t>
  </si>
  <si>
    <t>mail@2dim-gargal.mes.sch.gr</t>
  </si>
  <si>
    <t>ΝΗΠΙΑΓΩΓΕΙΟ ΘΟΥΡΙΑΣ</t>
  </si>
  <si>
    <t>mail@nip-thourias.mes.sch.gr</t>
  </si>
  <si>
    <t>1ο ΝΗΠΙΑΓΩΓΕΙΟ ΜΕΣΣΗΝΗΣ</t>
  </si>
  <si>
    <t>mail@1nip-messin.mes.sch.gr</t>
  </si>
  <si>
    <t>ΑΪΔΙΝΙΟΥ 14</t>
  </si>
  <si>
    <t>8ο ΔΗΜΟΤΙΚΟ ΣΧΟΛΕΙΟ ΚΑΛΑΜΑΤΑΣ</t>
  </si>
  <si>
    <t>mail@8dim-kalam.mes.sch.gr</t>
  </si>
  <si>
    <t>ΧΙΟΥ ΚΑΙ ΙΕΡΟΛΟΧΙΤΩΝ</t>
  </si>
  <si>
    <t>10ο ΝΗΠΙΑΓΩΓΕΙΟ ΚΑΛΑΜΑΤΑΣ</t>
  </si>
  <si>
    <t>mail@10nip-kalam.mes.sch.gr</t>
  </si>
  <si>
    <t>ΠΑΡΟΔΟΣ ΜΑΚΕΔΟΝΙΑΣ 1</t>
  </si>
  <si>
    <t>17ο ΝΗΠΙΑΓΩΓΕΙΟ ΚΑΛΑΜΑΤΑΣ</t>
  </si>
  <si>
    <t>mail@17nip-kalam.mes.sch.gr</t>
  </si>
  <si>
    <t>ΣΑΛΑΜΙΝΟΜΑΧΩΝ 30</t>
  </si>
  <si>
    <t>11ο ΔΗΜΟΤΙΚΟ ΣΧΟΛΕΙΟ ΚΑΛΑΜΑΤΑΣ</t>
  </si>
  <si>
    <t>mail@11dim-kalam.mes.sch.gr</t>
  </si>
  <si>
    <t>ΗΠΕΙΡΟΥ 16</t>
  </si>
  <si>
    <t>2ο ΝΗΠΙΑΓΩΓΕΙΟ ΜΕΣΣΗΝΗΣ</t>
  </si>
  <si>
    <t>mail@2nip-messin.mes.sch.gr</t>
  </si>
  <si>
    <t>ΟΥΛΩΦ ΠΑΛΜΕ</t>
  </si>
  <si>
    <t>ΔΗΜΟΤΙΚΟ ΣΧΟΛΕΙΟ ΕΥΑΣ ΑΝΔΡΟΥΣΑΣ</t>
  </si>
  <si>
    <t>dimeva@sch.gr</t>
  </si>
  <si>
    <t>ΕΥΑ ΑΝΔΡΟΥΣΑΣ</t>
  </si>
  <si>
    <t>ΕΥΑ  ΜΕΣΣΗΝΙΑΣ</t>
  </si>
  <si>
    <t>ΔΗΜΟΤΙΚΟ ΣΧΟΛΕΙΟ ΛΑΙΙΚΩΝ</t>
  </si>
  <si>
    <t>mail@dim-leikon.mes.sch.gr</t>
  </si>
  <si>
    <t>ΛΑΙΙΚΑ</t>
  </si>
  <si>
    <t>7ο ΝΗΠΙΑΓΩΓΕΙΟ ΚΑΛΑΜΑΤΑΣ</t>
  </si>
  <si>
    <t>mail@7nip-kalam.mes.sch.gr</t>
  </si>
  <si>
    <t>ΠΑΡΟΔΟΣ ΑΘΗΝΩΝ - ΤΕΡΜΑ ΤΡΟΙΑΣ</t>
  </si>
  <si>
    <t>11ο ΝΗΠΙΑΓΩΓΕΙΟ ΚΑΛΑΜΑΤΑΣ</t>
  </si>
  <si>
    <t>mail@11nip-kalam.mes.sch.gr</t>
  </si>
  <si>
    <t>ΛΕΪΚΩΝ 25</t>
  </si>
  <si>
    <t>4ο ΝΗΠΙΑΓΩΓΕΙΟ ΚΑΛΑΜΑΤΑΣ</t>
  </si>
  <si>
    <t>mail@4nip-kalam.mes.sch.gr</t>
  </si>
  <si>
    <t>ΕΛΕΑΒΟΥΛΚΟΥ  24</t>
  </si>
  <si>
    <t>ΝΗΠΙΑΓΩΓΕΙΟ ΜΕΛΙΓΑΛΑ</t>
  </si>
  <si>
    <t>mail@nip-melig.mes.sch.gr</t>
  </si>
  <si>
    <t>23ο ΝΗΠΙΑΓΩΓΕΙΟ ΚΑΛΑΜΑΤΑΣ</t>
  </si>
  <si>
    <t>mail@23nip-kalam.mes.sch.gr</t>
  </si>
  <si>
    <t>ΟΜΗΡΟΥ &amp;  ΜΑΙΖΩΝΟΣ</t>
  </si>
  <si>
    <t>2ο ΔΗΜΟΤΙΚΟ ΣΧΟΛΕΙΟ ΜΕΣΣΗΝΗΣ</t>
  </si>
  <si>
    <t>mail@2dim-messin.mes.sch.gr</t>
  </si>
  <si>
    <t>ΜΕΤΑΜΟΡΦΩΣΗ ΣΩΤΗΡΟΣ</t>
  </si>
  <si>
    <t>15ο ΝΗΠΙΑΓΩΓΕΙΟ ΚΑΛΑΜΑΤΑΣ</t>
  </si>
  <si>
    <t>mail@15nip-kalam.mes.sch.gr</t>
  </si>
  <si>
    <t>ΛΕΪΚΩΝ 24</t>
  </si>
  <si>
    <t>ΝΗΠΙΑΓΩΓΕΙΟ ΑΡΦΑΡΩΝ</t>
  </si>
  <si>
    <t>mail@nip-arfar.mes.sch.gr</t>
  </si>
  <si>
    <t>ΑΡΦΑΡΑ</t>
  </si>
  <si>
    <t>ΔΗΜΟΤΙΚΟ ΣΧΟΛΕΙΟ ΑΡΙΟΣ</t>
  </si>
  <si>
    <t>mail@dim-arios.mes.sch.gr</t>
  </si>
  <si>
    <t>ΑΡΙΣ</t>
  </si>
  <si>
    <t>1ο ΝΗΠΙΑΓΩΓΕΙΟ ΚΑΛΑΜΑΤΑΣ</t>
  </si>
  <si>
    <t>mail@1nip-kalam.mes.sch.gr</t>
  </si>
  <si>
    <t>ΝΙΚΟΛΑΟΥ ΜΕΘΩΝΗΣ 28</t>
  </si>
  <si>
    <t>13ο ΔΗΜΟΤΙΚΟ ΣΧΟΛΕΙΟ ΚΑΛΑΜΑΤΑΣ</t>
  </si>
  <si>
    <t>mail@13dim-kalam.mes.sch.gr</t>
  </si>
  <si>
    <t>19ο ΝΗΠΙΑΓΩΓΕΙΟ ΚΑΛΑΜΑΤΑΣ</t>
  </si>
  <si>
    <t>mail@19nip-kalam.mes.sch.gr</t>
  </si>
  <si>
    <t>ΛΑΚΩΝΙΚΗΣ &amp; Ι. ΖΑΡΚΟΥ  ΦΑΡΑΙ</t>
  </si>
  <si>
    <t>2ο ΝΗΠΙΑΓΩΓΕΙΟ ΚΑΛΑΜΑΤΑΣ</t>
  </si>
  <si>
    <t>mail@2nip-kalam.mes.sch.gr</t>
  </si>
  <si>
    <t>ΠΑΛΑΙΟΛΟΓΟΥ ΚΑΙ ΔΗΜΑΚΟΠΟΥΛΟΥ</t>
  </si>
  <si>
    <t>14ο ΝΗΠΙΑΓΩΓΕΙΟ ΚΑΛΑΜΑΤΑΣ</t>
  </si>
  <si>
    <t>mail@14nip-kalam.mes.sch.gr</t>
  </si>
  <si>
    <t>ΗΡΩΩΝ ΚΑΙ ΚΡΗΤΗΣ 41</t>
  </si>
  <si>
    <t>6ο ΝΗΠΙΑΓΩΓΕΙΟ ΚΑΛΑΜΑΤΑΣ</t>
  </si>
  <si>
    <t>mail@6nip-kalam.mes.sch.gr</t>
  </si>
  <si>
    <t>ΚΑΤΑΥΛΙΣΜΟΣ ΒΑΓΙΑ</t>
  </si>
  <si>
    <t>1ο  ΝΗΠΙΑΓΩΓΕΙΟ ΓΑΡΓΑΛΙΑΝΩΝ</t>
  </si>
  <si>
    <t>mail@1nip-gargal.mes.sch.gr</t>
  </si>
  <si>
    <t>2ο ΝΗΠΙΑΓΩΓΕΙΟ ΓΑΡΓΑΛΙΑΝΩΝ</t>
  </si>
  <si>
    <t>mail@2nip-gargal.mes.sch.gr</t>
  </si>
  <si>
    <t>2ο ΝΗΠΙΑΓΩΓΕΙΟ ΦΙΛΙΑΤΡΩΝ</t>
  </si>
  <si>
    <t>mail@2nip-filiatr.mes.sch.gr</t>
  </si>
  <si>
    <t>ΠΑΝΑΓΙΑ ΦΙΛΙΑΤΡΩΝ 1</t>
  </si>
  <si>
    <t>ΝΗΠΙΑΓΩΓΕΙΟ ΛΕΪΚΩΝ</t>
  </si>
  <si>
    <t>mail@nip-leikon.mes.sch.gr</t>
  </si>
  <si>
    <t>ΛΕΪΚΑ</t>
  </si>
  <si>
    <t>ΔΗΜΟΤΙΚΟ ΣΧΟΛΕΙΟ ΑΡΦΑΡΩΝ</t>
  </si>
  <si>
    <t>mail@dim-arfar.mes.sch.gr</t>
  </si>
  <si>
    <t>ΠΑΠΑΦΛΕΣΣΑ 50</t>
  </si>
  <si>
    <t>1ο ΔΗΜΟΤΙΚΟ ΣΧΟΛΕΙΟ ΠΥΛΟΥ</t>
  </si>
  <si>
    <t>mail@1dim-pylou.mes.sch.gr</t>
  </si>
  <si>
    <t>2ο ΔΗΜΟΤΙΚΟ ΣΧΟΛΕΙΟ ΠΥΛΟΥ</t>
  </si>
  <si>
    <t>mail@2dim-pylou.mes.sch.gr</t>
  </si>
  <si>
    <t>1ο ΔΗΜΟΤΙΚΟ ΣΧΟΛΕΙΟ ΧΩΡΑΣ</t>
  </si>
  <si>
    <t>mail@1dim-choras.mes.sch.gr</t>
  </si>
  <si>
    <t>ΛΑΣΚΟΥ ΔΟΥΡΟΥ ΒΑΣΙΛΙΚΗΣ 2</t>
  </si>
  <si>
    <t>16ο ΝΗΠΙΑΓΩΓΕΙΟ ΚΑΛΑΜΑΤΑΣ</t>
  </si>
  <si>
    <t>mail@16nip-kalam.mes.sch.gr</t>
  </si>
  <si>
    <t>ΠΑΠΑΝΟΥΤΣΟΥ  8</t>
  </si>
  <si>
    <t>ΔΗΜΟΤΙΚΟ ΣΧΟΛΕΙΟ ΠΕΤΑΛΙΔΙΟΥ</t>
  </si>
  <si>
    <t>mail@dim-petal.mes.sch.gr</t>
  </si>
  <si>
    <t>ΠΕΤΑΛΙΔΙ</t>
  </si>
  <si>
    <t>17ο ΔΗΜΟΤΙΚΟ ΣΧΟΛΕΙΟ ΚΑΛΑΜΑΤΑΣ</t>
  </si>
  <si>
    <t>mail@17dim-kalam.mes.sch.gr</t>
  </si>
  <si>
    <t>Ε.Ο.ΣΠΑΡΤΗΣ ΚΑΙ ΚΑΛΛΙΘΕΑΣ</t>
  </si>
  <si>
    <t>ΔΗΜΟΤΙΚΟ ΣΧΟΛΕΙΟ ΧΑΝΔΡΙΝΟΥ</t>
  </si>
  <si>
    <t>mail@dim-chandr.mes.sch.gr</t>
  </si>
  <si>
    <t>ΧΑΝΔΡΙΝΟΣ</t>
  </si>
  <si>
    <t>ΧΑΝΔΡΙΝΟΥ</t>
  </si>
  <si>
    <t>18ο ΔΗΜΟΤΙΚΟ ΣΧΟΛΕΙΟ ΚΑΛΑΜΑΤΑΣ</t>
  </si>
  <si>
    <t>mail@18dim-kalam.mes.sch.gr</t>
  </si>
  <si>
    <t>Α ΣΧΟΛΙΚΟ ΣΥΓΚΡΟΤΗΜΑ</t>
  </si>
  <si>
    <t>21ο ΔΗΜΟΤΙΚΟ ΣΧΟΛΕΙΟ ΚΑΛΑΜΑΤΑΣ</t>
  </si>
  <si>
    <t>mail@21dim-kalam.mes.sch.gr</t>
  </si>
  <si>
    <t>ΠΛΑΤΕΙΑ ΤΑΞΙΑΡΧΩΝ</t>
  </si>
  <si>
    <t>ΔΗΜΟΤΙΚΟ ΣΧΟΛΕΙΟ ΣΠΕΡΧΟΓΕΙΑΣ</t>
  </si>
  <si>
    <t>mail@dim-sperch.mes.sch.gr</t>
  </si>
  <si>
    <t>ΣΠΕΡΧΟΓΕΙΑ ΜΕΣΣΗΝΙΑΣ</t>
  </si>
  <si>
    <t>4ο ΔΗΜΟΤΙΚΟ ΣΧΟΛΕΙΟ ΚΑΛΑΜΑΤΑΣ</t>
  </si>
  <si>
    <t>mail@4dim-kalam.mes.sch.gr</t>
  </si>
  <si>
    <t>Καλαμάτα</t>
  </si>
  <si>
    <t>ΚΑΝΑΡΗ 53</t>
  </si>
  <si>
    <t>9ο ΔΗΜΟΤΙΚΟ ΣΧΟΛΕΙΟ ΚΑΛΑΜΑΤΑΣ</t>
  </si>
  <si>
    <t>mail@9dim-kalam.mes.sch.gr</t>
  </si>
  <si>
    <t>ΛΙΛΗΣ ΖΩΓΡΑΦΟΥ 3</t>
  </si>
  <si>
    <t>22ο ΔΗΜΟΤΙΚΟ ΣΧΟΛΕΙΟ ΚΑΛΑΜΑΤΑΣ</t>
  </si>
  <si>
    <t>mail@22dim-kalam.mes.sch.gr</t>
  </si>
  <si>
    <t>ΠΑΝΕΠΙΣΤΗΜΙΟΥ ΠΕΛΟΠΟΝΝΗΣΟΥ ΦΑΡΕΣ</t>
  </si>
  <si>
    <t>ΝΗΠΙΑΓΩΓΕΙΟ ΔΙΑΣΠΟΡΑΣ</t>
  </si>
  <si>
    <t>mail@nip-diasp-kalam.mes.sch.gr</t>
  </si>
  <si>
    <t>ΔΙΑΣΠΟΡΑ</t>
  </si>
  <si>
    <t>ΔΙΑΣΠΟΡΑ 120 Π.Ε.Α.</t>
  </si>
  <si>
    <t>ΣΤΕΡΕΑΣ ΕΛΛΑΔΑΣ</t>
  </si>
  <si>
    <t>Π.Ε. ΒΟΙΩΤΙΑΣ</t>
  </si>
  <si>
    <t>5ο ΝΗΠΙΑΓΩΓΕΙΟ ΛΙΒΑΔΕΙΑΣ</t>
  </si>
  <si>
    <t>mail@5nip-livad.voi.sch.gr</t>
  </si>
  <si>
    <t>ΛΕΒΑΔΕΩΝ</t>
  </si>
  <si>
    <t>ΛΙΒΑΔΕΙΑΣ</t>
  </si>
  <si>
    <t>Άγιος Μελέτιος</t>
  </si>
  <si>
    <t>8ο ΝΗΠΙΑΓΩΓΕΙΟ ΛΙΒΑΔΕΙΑΣ</t>
  </si>
  <si>
    <t>mail@8nip-livad.voi.sch.gr</t>
  </si>
  <si>
    <t>ΑΧΙΛΛΕΩΣ 16</t>
  </si>
  <si>
    <t>6ο  ΝΗΠΙΑΓΩΓΕΙΟ ΛΙΒΑΔΕΙΑΣ</t>
  </si>
  <si>
    <t>mail@6nip-livad.voi.sch.gr</t>
  </si>
  <si>
    <t>ΦΕΙΔΙΠΠΙΔΟΥ 1</t>
  </si>
  <si>
    <t>ΝΗΠΙΑΓΩΓΕΙΟ ΟΡΧΟΜΕΝΟΥ</t>
  </si>
  <si>
    <t>mail@1nip-orchom.voi.sch.gr</t>
  </si>
  <si>
    <t>ΟΡΧΟΜΕΝΟΥ</t>
  </si>
  <si>
    <t>ΣΥΝΟΙΚΙΣΜΟΣ</t>
  </si>
  <si>
    <t>3ο  ΔΗΜΟΤΙΚΟ ΣΧΟΛΕΙΟ ΘΗΒΑΣ</t>
  </si>
  <si>
    <t>mail@3dim-thivas.voi.sch.gr</t>
  </si>
  <si>
    <t>ΘΗΒΑΙΩΝ</t>
  </si>
  <si>
    <t>ΘΗΒΑ</t>
  </si>
  <si>
    <t>ΠΑΡΟΔΟΣ ΑΓΙΟΥ ΚΩΝΣΤΑΝΤΙΝΟΥ 3</t>
  </si>
  <si>
    <t>3ο ΔΗΜΟΤΙΚΟ ΣΧΟΛΕΙΟ ΛΙΒΑΔΕΙΑΣ</t>
  </si>
  <si>
    <t>mail@3dim-livad.voi.sch.gr</t>
  </si>
  <si>
    <t>ΛΙΒΑΔΕΙΑ</t>
  </si>
  <si>
    <t>ΑΝΑΛΗΨΕΩΣ 23</t>
  </si>
  <si>
    <t>7ο ΔΗΜΟΤΙΚΟ ΣΧΟΛΕΙΟ ΘΗΒΑΣ</t>
  </si>
  <si>
    <t>mail@7dim-thivas.voi.sch.gr</t>
  </si>
  <si>
    <t>Θήβα</t>
  </si>
  <si>
    <t>ΟΠΛΑΡΧΗΓΟΥ ΒΟΓΚΛΗ 72-74</t>
  </si>
  <si>
    <t>1ο ΔΗΜΟΤΙΚΟ ΣΧΟΛΕΙΟ ΣΧΗΜΑΤΑΡΙΟΥ</t>
  </si>
  <si>
    <t>mail@1dim-schim.voi.sch.gr</t>
  </si>
  <si>
    <t>ΤΑΝΑΓΡΑΣ</t>
  </si>
  <si>
    <t>ΣΧΗΜΑΤΑΡΙ</t>
  </si>
  <si>
    <t>ΚΟΣΜΑ ΑΙΤΩΛΟΥ ΚΑΙ ΤΡΙΩΝ ΙΕΡΑΡΧΩΝ</t>
  </si>
  <si>
    <t>6ο  ΝΗΠΙΑΓΩΓΕΙΟ ΘΗΒΑΣ</t>
  </si>
  <si>
    <t>mail@6nip-thivas.voi.sch.gr</t>
  </si>
  <si>
    <t>ΘΗΒΑΣ</t>
  </si>
  <si>
    <t>ΟΠΛΑΡΧΗΓΟΥ ΒΟΓΚΛΗ</t>
  </si>
  <si>
    <t>4ο ΝΗΠΙΑΓΩΓΕΙΟ ΛΙΒΑΔΕΙΑΣ</t>
  </si>
  <si>
    <t>mail@4nip-livad.voi.sch.gr</t>
  </si>
  <si>
    <t>ΧΑΙΡΩΝΕΙΑΣ 34 &amp; ΑΡΙΣΤΟΦΑΝΟΥΣ</t>
  </si>
  <si>
    <t>2ο ΝΗΠΙΑΓΩΓΕΙΟ ΛΙΒΑΔΕΙΑΣ</t>
  </si>
  <si>
    <t>mail@2nip-livad.voi.sch.gr</t>
  </si>
  <si>
    <t>ΚΑΤΣΙΩΤΟΥ 5</t>
  </si>
  <si>
    <t>ΔΗΜΟΤΙΚΟ ΣΧΟΛΕΙΟ ΣΚΟΥΡΤΩΝ</t>
  </si>
  <si>
    <t>mail@dim-skourt.voi.sch.gr</t>
  </si>
  <si>
    <t>ΣΚΟΥΡΤΑ</t>
  </si>
  <si>
    <t>4ο ΔΗΜΟΤΙΚΟ ΣΧΟΛΕΙΟ ΘΗΒΑΣ</t>
  </si>
  <si>
    <t>mail@4dim-thivas.voi.sch.gr</t>
  </si>
  <si>
    <t>ΑΓΙΟΥ ΑΘΑΝΑΣΙΟΥ 40</t>
  </si>
  <si>
    <t>8ο ΔΗΜΟΤΙΚΟ ΣΧΟΛΕΙΟ ΘΗΒΑΣ</t>
  </si>
  <si>
    <t>mail@8dim-thivas.voi.sch.gr</t>
  </si>
  <si>
    <t>5ο ΔΗΜΟΤΙΚΟ ΣΧΟΛΕΙΟ ΛΙΒΑΔΕΙΑΣ</t>
  </si>
  <si>
    <t>mail@5dim-livad.voi.sch.gr</t>
  </si>
  <si>
    <t>Μ. ΑΣΙΑΣ 11</t>
  </si>
  <si>
    <t>4ο ΔΗΜΟΤΙΚΟ ΣΧΟΛΕΙΟ ΛΙΒΑΔΕΙΑΣ</t>
  </si>
  <si>
    <t>mail@4dim-livad.voi.sch.gr</t>
  </si>
  <si>
    <t>ΧΑΙΡΩΝΕΙΑΣ ΚΑΙ ΚΥΡΙΑΚΙΟΥ</t>
  </si>
  <si>
    <t>4ο ΝΗΠΙΑΓΩΓΕΙΟ ΘΗΒΑΣ</t>
  </si>
  <si>
    <t>mail@4nip-thivas.voi.sch.gr</t>
  </si>
  <si>
    <t>ΑΓΙΟΥ ΑΘΑΝΑΣΙΟΥ 42</t>
  </si>
  <si>
    <t>9ο  ΔΗΜΟΤΙΚΟ ΣΧΟΛΕΙΟ ΛΙΒΑΔΕΙΑΣ</t>
  </si>
  <si>
    <t>mail@9dim-livad.voi.sch.gr</t>
  </si>
  <si>
    <t>ΤΕΡΜΑ ΔΙΣΤΟΜΟΥ-ΙΣΙΩΜΑΤΑ</t>
  </si>
  <si>
    <t>ΔΗΜΟΤΙΚΟ ΣΧΟΛΕΙΟ ΠΑΥΛΟΥ</t>
  </si>
  <si>
    <t>mail@dim-pavlou.voi.sch.gr</t>
  </si>
  <si>
    <t>ΠΑΥΛΟΣ</t>
  </si>
  <si>
    <t>ΔΗΜΟΤΙΚΟ ΣΧΟΛΕΙΟ ΠΑΥΛΟΥ - ΠΑΥΛΟΣ</t>
  </si>
  <si>
    <t>ΔΗΜΟΤΙΚΟ ΣΧΟΛΕΙΟ ΜΑΥΡΟΜΜΑΤΙΟΥ</t>
  </si>
  <si>
    <t>mail@dim-mavrom.voi.sch.gr</t>
  </si>
  <si>
    <t>ΑΛΙΑΡΤΟΥ-ΘΕΣΠΙΕΩΝ</t>
  </si>
  <si>
    <t>2ο ΔΗΜΟΤΙΚΟ ΣΧΟΛΕΙΟ ΟΡΧΟΜΕΝΟΥ</t>
  </si>
  <si>
    <t>mail@2dim-orchom.voi.sch.gr</t>
  </si>
  <si>
    <t>ΟΡΧΟΜΕΝΟΣ</t>
  </si>
  <si>
    <t>ΓΥΜΝΑΣΤΗΡΙΟΥ</t>
  </si>
  <si>
    <t>5ο ΝΗΠΙΑΓΩΓΕΙΟ ΘΗΒΑΣ-ΦΙΛΟΛΑΟ</t>
  </si>
  <si>
    <t>mail@5nip-thivas.voi.sch.gr</t>
  </si>
  <si>
    <t>ΦΙΛΟΛΑΟΥ 4</t>
  </si>
  <si>
    <t>6ο ΔΗΜΟΤΙΚΟ ΣΧΟΛΕΙΟ ΘΗΒΑΣ</t>
  </si>
  <si>
    <t>mail@6dim-thivas.voi.sch.gr</t>
  </si>
  <si>
    <t>ΠΑΡΟΔΟΣ ΠΟΤΝΙΩΝ</t>
  </si>
  <si>
    <t>ΔΗΜΟΤΙΚΟ ΣΧΟΛΕΙΟ ΑΡΜΑΤΟΣ</t>
  </si>
  <si>
    <t>mail@dim-armat.voi.sch.gr</t>
  </si>
  <si>
    <t>ΑΡΜΑ   ΒΟΙΩΤΙΑΣ</t>
  </si>
  <si>
    <t>9ο ΝΗΠΙΑΓΩΓΕΙΟ ΛΙΒΑΔΕΙΑΣ</t>
  </si>
  <si>
    <t>mail@9nip-livad.voi.sch.gr</t>
  </si>
  <si>
    <t>ΑΡΙΣΤΟΦΑΝΟΥΣ 10</t>
  </si>
  <si>
    <t>10ο ΝΗΠΙΑΓΩΓΕΙΟ ΛΙΒΑΔΕΙΑΣ</t>
  </si>
  <si>
    <t>mail@10nip-livad.voi.sch.gr</t>
  </si>
  <si>
    <t>ΤΕΡΜΑ ΣΟΥΛΙΟΥ</t>
  </si>
  <si>
    <t>10ο ΔΗΜΟΤΙΚΟ ΣΧΟΛΕΙΟ ΛΙΒΑΔΕΙΑΣ</t>
  </si>
  <si>
    <t>mail@10dim-livad.voi.sch.gr</t>
  </si>
  <si>
    <t>ΧΑΙΡΩΝΕΙΑΣ &amp; ΚΥΡΙΑΚΙΟΥ</t>
  </si>
  <si>
    <t>1ο ΝΗΠΙΑΓΩΓΕΙΟ ΛΙΒΑΔΕΙΑΣ</t>
  </si>
  <si>
    <t>mail@1nip-livad.voi.sch.gr</t>
  </si>
  <si>
    <t>ΤΕΡΜΑ ΣΠΥΡΟΥ ΛΟΥΗ</t>
  </si>
  <si>
    <t>8ο ΔΗΜΟΤΙΚΟ ΣΧΟΛΕΙΟ ΛΙΒΑΔΕΙΑΣ</t>
  </si>
  <si>
    <t>mail@8dim-livad.voi.sch.gr</t>
  </si>
  <si>
    <t>ΦΕΙΔΙΠΠΙΔΟΥ</t>
  </si>
  <si>
    <t>ΔΗΜΟΤΙΚΟ ΣΧΟΛΕΙΟ ΑΡΑΧΩΒΑΣ</t>
  </si>
  <si>
    <t>mail@dim-arach.voi.sch.gr</t>
  </si>
  <si>
    <t>ΔΙΣΤΟΜΟΥ - ΑΡΑΧΟΒΑΣ - ΑΝΤΙΚΥΡΑΣ</t>
  </si>
  <si>
    <t>ΑΡΑΧΩΒΑ ΒΟΙΩΤΙΑΣ</t>
  </si>
  <si>
    <t>1ο ΝΗΠΙΑΓΩΓΕΙΟ ΣΧΗΜΑΤΑΡΙΟΥ</t>
  </si>
  <si>
    <t>mail@1nip-schim.voi.sch.gr</t>
  </si>
  <si>
    <t>ΣΧΗΜΑΤΑΡΙΟΥ</t>
  </si>
  <si>
    <t>ΓΕΩΡΓΙΟΥ ΚΑΡΑΙΣΚΑΚΗ 24</t>
  </si>
  <si>
    <t>1ο ΔΗΜΟΤΙΚΟ ΣΧΟΛΕΙΟ ΟΡΧΟΜΕΝΟΥ</t>
  </si>
  <si>
    <t>mail@1dim-orchom.voi.sch.gr</t>
  </si>
  <si>
    <t>ΔΗΜΟΤΙΚΟ ΣΧΟΛΕΙΟ ΔΑΥΛΕΙΑΣ</t>
  </si>
  <si>
    <t>mail@dim-davleias.voi.sch.gr</t>
  </si>
  <si>
    <t>ΔΑΥΛΕΙΑ</t>
  </si>
  <si>
    <t>ΝΗΠΙΑΓΩΓΕΙΟ ΠΑΡΑΛΙΑΣ ΔΙΣΤΟΜΟΥ</t>
  </si>
  <si>
    <t>mail@nip-par-distom.voi.sch.gr</t>
  </si>
  <si>
    <t>ΠΑΡΑΛΙΑΣ ΔΙΣΤΟΜΟΥ</t>
  </si>
  <si>
    <t>ΑΠΟΛΛΩΝΟΣ 47</t>
  </si>
  <si>
    <t>3ο ΝΗΠΙΑΓΩΓΕΙΟ ΣΧΗΜΑΤΑΡΙΟΥ</t>
  </si>
  <si>
    <t>mail@3nip-schim.voi.sch.gr</t>
  </si>
  <si>
    <t>ΤΕΡΜΑ ΑΓΡΑΦΩΝ</t>
  </si>
  <si>
    <t>3ο ΝΗΠΙΑΓΩΓΕΙΟ ΘΗΒΩΝ</t>
  </si>
  <si>
    <t>mail@3nip-thivas.voi.sch.gr</t>
  </si>
  <si>
    <t>ΘΗΒΩΝ</t>
  </si>
  <si>
    <t>ΠΑΡΟΔΟΣ ΑΓ.ΚΩΝΣΤΑΝΤΙΝΟΥ 3</t>
  </si>
  <si>
    <t>ΔΗΜΟΤΙΚΟ ΣΧΟΛΕΙΟ ΛΕΥΚΤΡΩΝ</t>
  </si>
  <si>
    <t>mail@dim-lefkt.voi.sch.gr</t>
  </si>
  <si>
    <t>ΛΕΥΚΤΡΑ</t>
  </si>
  <si>
    <t>1ο ΔΗΜΟΤΙΚΟ ΣΧΟΛΕΙΟ ΘΗΒΑΣ</t>
  </si>
  <si>
    <t>mail@1dim-thivas.voi.sch.gr</t>
  </si>
  <si>
    <t>ΔΙΡΚΗΣ 18</t>
  </si>
  <si>
    <t>ΔΗΜΟΤΙΚΟ ΣΧΟΛΕΙΟ ΚΥΡΙΑΚΙΟΥ</t>
  </si>
  <si>
    <t>mail@dim-kyriak.voi.sch.gr</t>
  </si>
  <si>
    <t>Κυριάκι Βοιωτίας</t>
  </si>
  <si>
    <t>ΔΗΜΟΤΙΚΟ ΣΧΟΛΕΙΟ ΑΝΤΙΚΥΡΑΣ</t>
  </si>
  <si>
    <t>mail@dim-antik.voi.sch.gr</t>
  </si>
  <si>
    <t>ΑΝΤΙΚΥΡΑ</t>
  </si>
  <si>
    <t>ΔΗΜΟΤΙΚΟ ΣΧΟΛΕΙΟ ΔΙΣΤΟΜΟΥ</t>
  </si>
  <si>
    <t>mail@dim-distom.sch.gr</t>
  </si>
  <si>
    <t>Δίστομο</t>
  </si>
  <si>
    <t>ΝΗΠΙΑΓΩΓΕΙΟ ΟΙΝΟΦΥΤΩΝ</t>
  </si>
  <si>
    <t>mail@nip-oinof.voi.sch.gr</t>
  </si>
  <si>
    <t>ΟΙΝΟΦΥΤΩΝ</t>
  </si>
  <si>
    <t>ΚΟΛΟΚΟΤΡΩΝΗ 9</t>
  </si>
  <si>
    <t>ΔΗΜΟΤΙΚΟ ΣΧΟΛΕΙΟ ΠΑΡΑΛΙΑΣ ΔΙΣΤΟΜΟΥ</t>
  </si>
  <si>
    <t>mail@1dim-asprov.voi.sch.gr</t>
  </si>
  <si>
    <t>ΠΑΡΑΛΙΑ  ΔΙΣΤΟΜΟΥ</t>
  </si>
  <si>
    <t>ΑΠΟΛΛΩΝΟΣ  47</t>
  </si>
  <si>
    <t>ΝΗΠΙΑΓΩΓΕΙΟ ΑΡΜΑΤΟΣ</t>
  </si>
  <si>
    <t>mail@nip-armat.voi.sch.gr</t>
  </si>
  <si>
    <t>ΑΡΜΑΤΟΣ</t>
  </si>
  <si>
    <t>ΑΡΜΑ</t>
  </si>
  <si>
    <t>ΝΗΠΙΑΓΩΓΕΙΟ ΔΗΛΕΣΙΟΥ</t>
  </si>
  <si>
    <t>mail@nip-diles.voi.sch.gr</t>
  </si>
  <si>
    <t>ΔΗΛΕΣΙΟΥ</t>
  </si>
  <si>
    <t>Λ. ΣΧΗΜΑΤΑΡΙΟΥ 31</t>
  </si>
  <si>
    <t>2ο ΝΗΠΙΑΓΩΓΕΙΟ ΣΧΗΜΑΤΑΡΙΟΥ</t>
  </si>
  <si>
    <t>mail@2nip-schim.voi.sch.gr</t>
  </si>
  <si>
    <t>ΓΥΜΝΑΣΤΗΡΙΟΥ 7</t>
  </si>
  <si>
    <t>1ο ΔΗΜΟΤΙΚΟ ΣΧΟΛΕΙΟ ΛΙΒΑΔΕΙΑΣ</t>
  </si>
  <si>
    <t>mail@1dim-livad.voi.sch.gr</t>
  </si>
  <si>
    <t>ΚΑΡΑΓΙΑΝΝΟΠΟΥΛΟΥ 62</t>
  </si>
  <si>
    <t>2ο ΔΗΜΟΤΙΚΟ ΣΧΟΛΕΙΟ ΛΙΒΑΔΕΙΑΣ</t>
  </si>
  <si>
    <t>mail@2dim-livad.voi.sch.gr</t>
  </si>
  <si>
    <t>ΕΛ.  ΒΕΝΙΖΕΛΟΥ 24</t>
  </si>
  <si>
    <t>6ο ΔΗΜΟΤΙΚΟ ΣΧΟΛΕΙΟ ΛΙΒΑΔΕΙΑΣ</t>
  </si>
  <si>
    <t>mail@6dim-livad.voi.sch.gr</t>
  </si>
  <si>
    <t>ΒΑΓΙΩΝ &amp; ΣΚΟΥΡΤΩΝ</t>
  </si>
  <si>
    <t>2ο ΝΗΠΙΑΓΩΓΕΙΟ ΑΛΙΑΡΤΟΥ</t>
  </si>
  <si>
    <t>mail@2nip-aliart.voi.sch.gr</t>
  </si>
  <si>
    <t>ΑΛΙΑΡΤΟΥ</t>
  </si>
  <si>
    <t>ΑΛΙΑΡΤΟΣ</t>
  </si>
  <si>
    <t>7ο ΔΗΜΟΤΙΚΟ ΣΧΟΛΕΙΟ ΛΙΒΑΔΕΙΑΣ</t>
  </si>
  <si>
    <t>mail@7dim-livad.voi.sch.gr</t>
  </si>
  <si>
    <t>ΑΓ ΦΑΝΟΥΡΙΟΥ 33</t>
  </si>
  <si>
    <t>1ο ΝΗΠΙΑΓΩΓΕΙΟ ΑΛΙΑΡΤΟΥ</t>
  </si>
  <si>
    <t>mail@1nip-aliart.voi.sch.gr</t>
  </si>
  <si>
    <t>ΑΘΑΝΑΣΙΟΥ ΣΚΟΥΡΤΑΝΙΩΤΗ 13(25ΗΣ ΜΑΡΤΙΟΥ)</t>
  </si>
  <si>
    <t>1ο ΔΗΜΟΤΙΚΟ ΣΧΟΛΕΙΟ ΑΛΙΑΡΤΟΥ</t>
  </si>
  <si>
    <t>mail@1dim-aliart.voi.sch.gr</t>
  </si>
  <si>
    <t>ΔΗΜΟΤΙΚΟ ΣΧΟΛΕΙΟ ΘΕΣΠΙΩΝ</t>
  </si>
  <si>
    <t>mail@dim-thesp.voi.sch.gr</t>
  </si>
  <si>
    <t>ΘΕΣΠΙΕΣ</t>
  </si>
  <si>
    <t>ΔΗΜΟΤΙΚΟ ΣΧΟΛΕΙΟ ΔΗΛΕΣΙΟΥ</t>
  </si>
  <si>
    <t>mail@dim-diles.voi.sch.gr</t>
  </si>
  <si>
    <t>ΔΗΛΕΣΙ</t>
  </si>
  <si>
    <t>Λ.ΣΧΗΜΑΤΑΡΙΟΥ-ΦΙΛΙΑΣ</t>
  </si>
  <si>
    <t>9ο ΝΗΠΙΑΓΩΓΕΙΟ ΘΗΒΑΣ</t>
  </si>
  <si>
    <t>mail@9nip-thivas.voi.sch.gr</t>
  </si>
  <si>
    <t>ΟΠΛΑΡΧΗΓΟΥ ΒΟΓΚΛΗ 55</t>
  </si>
  <si>
    <t>5ο ΔΗΜΟΤΙΚΟ ΣΧΟΛΕΙΟ ΘΗΒΑΣ</t>
  </si>
  <si>
    <t>mail@5dim-thivas.voi.sch.gr</t>
  </si>
  <si>
    <t>ΔΗΜΟΤΙΚΟ ΣΧΟΛΕΙΟ ΑΣΩΠΙΑΣ</t>
  </si>
  <si>
    <t>mail@dim-asopias.voi.sch.gr</t>
  </si>
  <si>
    <t>ΑΣΩΠΙΑ</t>
  </si>
  <si>
    <t>ΝΗΠΙΑΓΩΓΕΙΟ ΑΡΑΧΟΒΑΣ</t>
  </si>
  <si>
    <t>mail@nip-arach.voi.sch.gr</t>
  </si>
  <si>
    <t>ΑΡΑΧΟΒΑΣ</t>
  </si>
  <si>
    <t>ΑΡΑΧΟΒΑ</t>
  </si>
  <si>
    <t>1ο  ΔΗΜΟΤΙΚΟ ΣΧΟΛΕΙΟ ΒΑΓΙΩΝ</t>
  </si>
  <si>
    <t>mail@1dim-vagias.voi.sch.gr</t>
  </si>
  <si>
    <t>ΒΑΓΙΑ</t>
  </si>
  <si>
    <t>2ο ΔΗΜΟΤΙΚΟ ΣΧΟΛΕΙΟ ΑΛΙΑΡΤΟΥ</t>
  </si>
  <si>
    <t>mail@2dim-aliart.voi.sch.gr</t>
  </si>
  <si>
    <t>ΟΥΛΟΦ ΠΑΛΜΕ</t>
  </si>
  <si>
    <t>2ο ΔΗΜΟΤΙΚΟ ΣΧΟΛΕΙΟ ΣΧΗΜΑΤΑΡΙΟΥ</t>
  </si>
  <si>
    <t>2dimsch@sch.gr</t>
  </si>
  <si>
    <t>ΙΩΑΝΝΗ ΡΙΤΣΟΥ 23</t>
  </si>
  <si>
    <t>3ο ΔΗΜΟΤΙΚΟ ΣΧΟΛΕΙΟ ΣΧΗΜΑΤΑΡΙΟΥ</t>
  </si>
  <si>
    <t>3dimsch@sch.gr</t>
  </si>
  <si>
    <t>9ο ΔΗΜΟΤΙΚΟ ΣΧΟΛΕΙΟ ΘΗΒΑΣ</t>
  </si>
  <si>
    <t>mail@9dim-thivas.voi.sch.gr</t>
  </si>
  <si>
    <t>ΑΥΛΙΔΟΣ 67</t>
  </si>
  <si>
    <t>7ο ΝΗΠΙΑΓΩΓΕΙΟ ΘΗΒΑΣ</t>
  </si>
  <si>
    <t>mail@7nip-thivas.voi.sch.gr</t>
  </si>
  <si>
    <t>ΠΑΡ. ΠΥΛΑΔΟΥ, ΤΑΧΙ ΘΗΒΑΣ</t>
  </si>
  <si>
    <t>ΔΗΜΟΤΙΚΟ ΣΧΟΛΕΙΟ ΟΙΝΟΦΥΤΩΝ</t>
  </si>
  <si>
    <t>mail@dim-oinof.voi.sch.gr</t>
  </si>
  <si>
    <t>ΟΙΝΟΦΥΤΑ</t>
  </si>
  <si>
    <t>ΠΥΡΓΟΥ 1</t>
  </si>
  <si>
    <t>10ο ΝΗΠΙΑΓΩΓΕΙΟ ΘΗΒΑΣ</t>
  </si>
  <si>
    <t>mail@10nip-thivas.voi.sch.gr</t>
  </si>
  <si>
    <t>ΠΟΥΛΙΟΠΟΥΛΟΥ 8</t>
  </si>
  <si>
    <t>2ο ΔΗΜΟΤΙΚΟ ΣΧΟΛΕΙΟ ΘΗΒΑΣ</t>
  </si>
  <si>
    <t>mail@2dim-thivas.voi.sch.gr</t>
  </si>
  <si>
    <t>ΚΑΣΣΑΝΔΡΟΥ &amp; ΣΠΑΡΤΩΝ</t>
  </si>
  <si>
    <t>12ο ΝΗΠΙΑΓΩΓΕΙΟ ΛΙΒΑΔΕΙΑΣ</t>
  </si>
  <si>
    <t>mail@12nip-livad.voi.sch.gr</t>
  </si>
  <si>
    <t>ΑΡΙΣΤΟΦΑΝΟΥΣ ΚΑΙ ΧΑΙΡΩΝΕΙΑΣ</t>
  </si>
  <si>
    <t>ΔΗΜΟΤΙΚΟ ΣΧΟΛΕΙΟ ΑΓΙΟΥ ΘΩΜΑ ΒΟΙΩΤΙΑΣ</t>
  </si>
  <si>
    <t>mail@dim-ag-thoma.voi.sch.gr</t>
  </si>
  <si>
    <t>ΑΓ. ΘΩΜΑΣ ΤΑΝΑΓΡΑΣ ΒΟΙΩΤΙΑΣ</t>
  </si>
  <si>
    <t>ΑΓΙΟΣ ΘΩΜΑΣ ΒΟΙΩΤΙΑΣ</t>
  </si>
  <si>
    <t>13ο ΝΗΠΙΑΓΩΓΕΙΟ ΛΙΒΑΔΕΙΑΣ</t>
  </si>
  <si>
    <t>mail@13nip-livad.voi.sch.gr</t>
  </si>
  <si>
    <t>ΙΤΕΑΣ ΚΑΙ ΕΡΚΥΝΑΣ</t>
  </si>
  <si>
    <t>ΔΗΜΟΤΙΚΟ ΣΧΟΛΕΙΟ ΑΓΙΟΥ ΓΕΩΡΓΙΟΥ ΒΟΙΩΤΙΑΣ</t>
  </si>
  <si>
    <t>mail@dim-ag-georg.voi.sch.gr</t>
  </si>
  <si>
    <t>2ο ΝΗΠΙΑΓΩΓΕΙΟ ΟΙΝΟΦΥΤΩΝ</t>
  </si>
  <si>
    <t>mail@2nip-oinof.voi.sch.gr</t>
  </si>
  <si>
    <t>ΚΑΛΗΣ ΘΕΛΗΣΕΩΣ 2</t>
  </si>
  <si>
    <t>Π.Ε. ΕΥΒΟΙΑΣ</t>
  </si>
  <si>
    <t>1ο ΝΗΠΙΑΓΩΓΕΙΟ ΕΡΕΤΡΙΑΣ</t>
  </si>
  <si>
    <t>mail@1nip-eretr.eyv.sch.gr</t>
  </si>
  <si>
    <t>ΕΡΕΤΡΙΑΣ</t>
  </si>
  <si>
    <t>ΕΡΕΤΡΙΑ</t>
  </si>
  <si>
    <t>ΠΛΑΤΕΙΑ  ΛΑΪΚΗΣ</t>
  </si>
  <si>
    <t>1ο ΝΗΠΙΑΓΩΓΕΙΟ ΨΑΧΝΩΝ</t>
  </si>
  <si>
    <t>mail@1nip-psachn.eyv.sch.gr</t>
  </si>
  <si>
    <t>ΔΙΡΦΥΩΝ-ΜΕΣΣΑΠΙΩΝ</t>
  </si>
  <si>
    <t>ΨΑΧΝΩΝ</t>
  </si>
  <si>
    <t>ΙΩΑΝΝΗ ΜΕΤΑΞΑ 3</t>
  </si>
  <si>
    <t>1ο ΝΗΠΙΑΓΩΓΕΙΟ ΝΕΑΣ ΛΑΜΨΑΚΟΥ</t>
  </si>
  <si>
    <t>mail@1nip-n-lamps.eyv.sch.gr</t>
  </si>
  <si>
    <t>ΧΑΛΚΙΔΕΩΝ</t>
  </si>
  <si>
    <t>ΝΕΑΣ ΛΑΜΨΑΚΟΥ</t>
  </si>
  <si>
    <t>ΝΕΑ ΛΑΜΨΑΚΟΣ</t>
  </si>
  <si>
    <t>1ο ΝΗΠΙΑΓΩΓΕΙΟ ΑΓ. ΝΙΚΟΛΑΟΥ ΧΑΛΚΙΔΑΣ</t>
  </si>
  <si>
    <t>mail@nip-ag-nikol.eyv.sch.gr</t>
  </si>
  <si>
    <t>ΑΓ. ΝΙΚΟΛΑΟΥ ΧΑΛΚΙΔΑΣ</t>
  </si>
  <si>
    <t>ΖΩΟΔΟΧΟΥ ΠΗΓΗΣ</t>
  </si>
  <si>
    <t>ΔΗΜΟΤΙΚΟ ΣΧΟΛΕΙΟ ΦΥΛΛΩΝ</t>
  </si>
  <si>
    <t>dimfyll@sch.gr</t>
  </si>
  <si>
    <t>ΦΥΛΛΑ ΧΑΛΚΙΔΑΣ</t>
  </si>
  <si>
    <t>2ο ΝΗΠΙΑΓΩΓΕΙΟ ΔΡΟΣΙΑΣ ΕΥΒΟΙΑΣ</t>
  </si>
  <si>
    <t>mail@2nip-drosias.eyv.sch.gr</t>
  </si>
  <si>
    <t>ΔΡΟΣΙΑΣ</t>
  </si>
  <si>
    <t>ΙΠΠΟΚΡΑΤΟΥΣ 6</t>
  </si>
  <si>
    <t>5ο ΔΗΜΟΤΙΚΟ ΣΧΟΛΕΙΟ ΧΑΛΚΙΔΑΣ</t>
  </si>
  <si>
    <t>mail@5dim-chalk.eyv.sch.gr</t>
  </si>
  <si>
    <t>ΧΑΛΚΙΔΑ</t>
  </si>
  <si>
    <t>ΤΡΑΛΛΕΩΝ 57</t>
  </si>
  <si>
    <t>18ο ΔΗΜΟΤΙΚΟ ΣΧΟΛΕΙΟ ΧΑΛΚΙΔΑΣ</t>
  </si>
  <si>
    <t>mail@18dim-chalk.eyv.sch.gr</t>
  </si>
  <si>
    <t>Χαλκίδα</t>
  </si>
  <si>
    <t>Πάροδος Ορέστη Μακρή, 0000</t>
  </si>
  <si>
    <t>1ο ΔΗΜΟΤΙΚΟ ΣΧΟΛΕΙΟ ΒΑΣΙΛΙΚΟΥ</t>
  </si>
  <si>
    <t>mail@1dim-vasil.eyv.sch.gr</t>
  </si>
  <si>
    <t>ΑΓ. ΓΕΩΡΓΙΟΥ 48</t>
  </si>
  <si>
    <t>2ο ΔΗΜΟΤΙΚΟ ΣΧΟΛΕΙΟ ΒΑΣΙΛΙΚΟΥ</t>
  </si>
  <si>
    <t>mail@2dim-vasil.eyv.sch.gr</t>
  </si>
  <si>
    <t>ΒΑΣΙΛΙΚΟ ΧΑΛΚΙΔΑΣ</t>
  </si>
  <si>
    <t>ΠΑΝΤΕΛΕΗΜΟΝΟΣ 36</t>
  </si>
  <si>
    <t>ΔΗΜΟΤΙΚΟ ΣΧΟΛΕΙΟ ΑΓΙΟΥ ΝΙΚΟΛΑΟΥ ΕΥΒΟΙΑΣ</t>
  </si>
  <si>
    <t>mail@dim-ag-nikol.eyv.sch.gr</t>
  </si>
  <si>
    <t>Άγιος  Νικόλαος</t>
  </si>
  <si>
    <t>ΛΕΩΦΟΡΟΣ  ΣΤΑΜΑΤΗ ΛΥΜΠΕΡΗ</t>
  </si>
  <si>
    <t>3ο ΔΗΜΟΤΙΚΟ ΣΧΟΛΕΙΟ ΒΑΣΙΛΙΚΟΥ</t>
  </si>
  <si>
    <t>mail@3dim-vasil.eyv.sch.gr</t>
  </si>
  <si>
    <t xml:space="preserve">Βασιλικό  </t>
  </si>
  <si>
    <t>ΛΕΥΚΑΝΤΙΟΥ 10</t>
  </si>
  <si>
    <t>ΔΗΜΟΤΙΚΟ ΣΧΟΛΕΙΟ ΑΦΡΑΤΙΟΥ ΧΑΛΚΙΔΑΣ</t>
  </si>
  <si>
    <t>dimafrat@sch.gr</t>
  </si>
  <si>
    <t>ΑΦΡΑΤΙ</t>
  </si>
  <si>
    <t>ΑΦΡΑΤΙ - ΧΑΛΚΙΔΑΣ</t>
  </si>
  <si>
    <t>ΔΗΜΟΤΙΚΟ ΣΧΟΛΕΙΟ ΠΡΟΚΟΠΙΟΥ</t>
  </si>
  <si>
    <t>mail@dim-prokop.eyv.sch.gr</t>
  </si>
  <si>
    <t>ΜΑΝΤΟΥΔΙΟΥ-ΛΙΜΝΗΣ-ΑΓΙΑΣ ΑΝΝΑΣ</t>
  </si>
  <si>
    <t>ΠΡΟΚΟΠΙ</t>
  </si>
  <si>
    <t>7ο ΔΗΜΟΤΙΚΟ ΣΧΟΛΕΙΟ ΧΑΛΚΙΔΑΣ</t>
  </si>
  <si>
    <t>mail@7dim-chalk.eyv.sch.gr</t>
  </si>
  <si>
    <t>ΑΠΟΣΤΟΛΗ 46</t>
  </si>
  <si>
    <t>3ο ΔΗΜΟΤΙΚΟ ΣΧΟΛΕΙΟ ΨΑΧΝΩΝ</t>
  </si>
  <si>
    <t>mail@3dim-psachn.eyv.sch.gr</t>
  </si>
  <si>
    <t xml:space="preserve">Ψαχνά, </t>
  </si>
  <si>
    <t>ΑΓΓΕΛΗ ΓΟΒΙΟΥ 75</t>
  </si>
  <si>
    <t>ΔΗΜΟΤΙΚΟ ΣΧΟΛΕΙΟ ΜΥΤΙΚΑ ΧΑΛΚΙΔΑΣ</t>
  </si>
  <si>
    <t>mail@dim-mytik.eyv.sch.gr</t>
  </si>
  <si>
    <t>Μύτικας</t>
  </si>
  <si>
    <t>1ο ΔΗΜΟΤΙΚΟ ΣΧΟΛΕΙΟ ΙΣΤΙΑΙΑΣ</t>
  </si>
  <si>
    <t>mail@1dim-istiaias.eyv.sch.gr</t>
  </si>
  <si>
    <t>ΙΣΤΙΑΙΑΣ-ΑΙΔΗΨΟΥ</t>
  </si>
  <si>
    <t>ΙΣΤΙΑΙΑ</t>
  </si>
  <si>
    <t>Γ.ΧΑΛΚΙΑ - Π. ΣΦΑΚΙΑΝΟΥ</t>
  </si>
  <si>
    <t>ΔΗΜΟΤΙΚΟ ΣΧΟΛΕΙΟ ΝΕΑΣ ΛΑΜΨΑΚΟΥ</t>
  </si>
  <si>
    <t>mail@dim-n-lamps.eyv.sch.gr</t>
  </si>
  <si>
    <t>25ης  ΜΑΡΤΙΟΥ</t>
  </si>
  <si>
    <t>26ο ΔΗΜΟΤΙΚΟ ΣΧΟΛΕΙΟ ΧΑΛΚΙΔΑΣ</t>
  </si>
  <si>
    <t>mail@26dim-chalk.eyv.sch.gr</t>
  </si>
  <si>
    <t>ΖΑΧΑΡΟΠΟΥΛΟΥ 18</t>
  </si>
  <si>
    <t>23ο ΔΗΜΟΤΙΚΟ ΣΧΟΛΕΙΟ ΧΑΛΚΙΔΑΣ  "ΓΕΩΡΓΙΟΣ ΟΙΚΟΝΟΜΙΔΗΣ"</t>
  </si>
  <si>
    <t>mail@23dim-chalk.eyv.sch.gr</t>
  </si>
  <si>
    <t>ΒΟΥΖΟΠΟΥΛΟΥ - ΔΥΟ ΔΕΝΔΡΑ</t>
  </si>
  <si>
    <t>ΔΗΜΟΤΙΚΟ ΣΧΟΛΕΙΟ ΑΣΜΗΝΙΟΥ</t>
  </si>
  <si>
    <t>mail@dim-asmin.eyv.sch.gr</t>
  </si>
  <si>
    <t>ΑΣΜΗΝΙΟ</t>
  </si>
  <si>
    <t>1ο ΔΗΜΟΤΙΚΟ ΣΧΟΛΕΙΟ ΨΑΧΝΩΝ</t>
  </si>
  <si>
    <t>mail@1dim-psachn.eyv.sch.gr</t>
  </si>
  <si>
    <t>ΨΑΧΝΑ</t>
  </si>
  <si>
    <t>ΑΒΑΝΤΩΝ 15, ΠΛΑΤΕΙΑ ΚΥΠΡΟΥ</t>
  </si>
  <si>
    <t>ΔΗΜΟΤΙΚΟ ΣΧΟΛΕΙΟ ΔΡΟΣΙΑΣ ΧΑΛΚΙΔΑΣ</t>
  </si>
  <si>
    <t>mail@dim-drosias.eyv.sch.gr</t>
  </si>
  <si>
    <t>ΔΡΟΣΙΑ ΧΑΛΚΙΔΑΣ</t>
  </si>
  <si>
    <t>28 ΟΚΤΩΒΡΙΟΥ 20</t>
  </si>
  <si>
    <t>2ο ΝΗΠΙΑΓΩΓΕΙΟ ΕΡΕΤΡΙΑΣ</t>
  </si>
  <si>
    <t>mail@2nip-eretr.eyv.sch.gr</t>
  </si>
  <si>
    <t>25ο ΔΗΜΟΤΙΚΟ ΣΧΟΛΕΙΟ ΧΑΛΚΙΔΑΣ - ΚΩΣΤΗΣ ΣΤΕΦΑΝΟΠΟΥΛΟΣ</t>
  </si>
  <si>
    <t>mail@25dim-chalk.eyv.sch.gr</t>
  </si>
  <si>
    <t>ΜΕΓΑΣΘΕΝΟΥΣ  28</t>
  </si>
  <si>
    <t>2ο ΝΗΠΙΑΓΩΓΕΙΟ ΝΕΑΣ ΑΡΤΑΚΗΣ</t>
  </si>
  <si>
    <t>mail@2nip-n-artak.eyv.sch.gr</t>
  </si>
  <si>
    <t>ΝΕΑ ΑΡΤΑΚΗ</t>
  </si>
  <si>
    <t>Καστελλόριζου (όπισθεν 3ου Δημοτικού Σχολείου Ν. Αρτάκης)</t>
  </si>
  <si>
    <t>2ο ΝΗΠΙΑΓΩΓΕΙΟ ΧΑΛΚΙΔΑΣ</t>
  </si>
  <si>
    <t>mail@2nip-chalk.eyv.sch.gr</t>
  </si>
  <si>
    <t>ΑΓΓΕΛΕΤΟΥ 21</t>
  </si>
  <si>
    <t>4ο ΝΗΠΙΑΓΩΓΕΙΟ ΧΑΛΚΙΔΑΣ</t>
  </si>
  <si>
    <t>mail@4nip-chalk.eyv.sch.gr</t>
  </si>
  <si>
    <t>ΘΕΣΠΡΩΤΙΑΣ 34</t>
  </si>
  <si>
    <t>3ο ΔΗΜΟΤΙΚΟ ΣΧΟΛΕΙΟ ΝΕΑΣ ΑΡΤΑΚΗΣ</t>
  </si>
  <si>
    <t>mail@3dim-n-artak.eyv.sch.gr</t>
  </si>
  <si>
    <t>Δ.ΚΕΛΑΪΔΙΤΗ</t>
  </si>
  <si>
    <t>9ο ΔΗΜΟΤΙΚΟ ΣΧΟΛΕΙΟ ΧΑΛΚΙΔΑΣ - ΓΙΑΝΝΗΣ ΣΚΑΡΙΜΠΑΣ</t>
  </si>
  <si>
    <t>mail@9dim-chalk.eyv.sch.gr</t>
  </si>
  <si>
    <t>ΧΕΙΜΑΡΑΣ 14</t>
  </si>
  <si>
    <t>10ο ΔΗΜΟΤΙΚΟ ΣΧΟΛΕΙΟ ΧΑΛΚΙΔΑΣ</t>
  </si>
  <si>
    <t>mail@10dim-chalk.eyv.sch.gr</t>
  </si>
  <si>
    <t>16ο ΝΗΠΙΑΓΩΓΕΙΟ ΧΑΛΚΙΔΑΣ</t>
  </si>
  <si>
    <t>mail@16nip-chalk.eyv.sch.gr</t>
  </si>
  <si>
    <t>ΛΕΛΑΣ ΚΑΡΑΓΙΑΝΝΗ 25</t>
  </si>
  <si>
    <t>1ο ΔΗΜΟΤΙΚΟ ΣΧΟΛΕΙΟ ΚΑΣΤΕΛΛΑΣ</t>
  </si>
  <si>
    <t>mail@1dim-kastell.eyv.sch.gr</t>
  </si>
  <si>
    <t>Καστέλλα</t>
  </si>
  <si>
    <t>4ο ΔΗΜΟΤΙΚΟ ΣΧΟΛΕΙΟ ΝΕΑΣ ΑΡΤΑΚΗΣ</t>
  </si>
  <si>
    <t>mail@4dim-n-artak.eyv.sch.gr</t>
  </si>
  <si>
    <t>Ν. ΑΡΤΑΚΗ</t>
  </si>
  <si>
    <t>Λ. ΒΟΥΔΟΥΡΗ 38</t>
  </si>
  <si>
    <t>19ο ΝΗΠΙΑΓΩΓΕΙΟ ΧΑΛΚΙΔΑΣ</t>
  </si>
  <si>
    <t>mail@19nip-chalk.eyv.sch.gr</t>
  </si>
  <si>
    <t>ΧΑΛΚΙΔΑΣ</t>
  </si>
  <si>
    <t>ΑΜΦΙΔΑΜΑΝΤΟΣ ΚΑΙ ΠΟΣΕΙΔΩΝΟΣ</t>
  </si>
  <si>
    <t>ΔΗΜΟΤΙΚΟ ΣΧΟΛΕΙΟ ΜΑΡΜΑΡΙΟΥ</t>
  </si>
  <si>
    <t>mail@dim-marmar.eyv.sch.gr</t>
  </si>
  <si>
    <t>ΚΑΡΥΣΤΟΥ</t>
  </si>
  <si>
    <t>ΜΑΡΜΑΡΙ</t>
  </si>
  <si>
    <t>3ο ΝΗΠΙΑΓΩΓΕΙΟ ΧΑΛΚΙΔΑΣ</t>
  </si>
  <si>
    <t>mail@3nip-chalk.eyv.sch.gr</t>
  </si>
  <si>
    <t>ΧΡΗΣΤΟΥ ΚΑΨΑΛΗ 42</t>
  </si>
  <si>
    <t>ΝΗΠΙΑΓΩΓΕΙΟ ΛΙΜΝΗΣ</t>
  </si>
  <si>
    <t>mail@nip-limnis.eyv.sch.gr</t>
  </si>
  <si>
    <t>ΛΙΜΝΗΣ</t>
  </si>
  <si>
    <t>ΛΙΜΝΗ ΕΥΒΟΙΑΣ</t>
  </si>
  <si>
    <t>1ο ΔΗΜΟΤΙΚΟ ΣΧΟΛΕΙΟ ΑΜΑΡΥΝΘΟΥ</t>
  </si>
  <si>
    <t>mail@1dim-amarynth.eyv.sch.gr</t>
  </si>
  <si>
    <t>ΑΜΑΡΥΝΘΟΣ</t>
  </si>
  <si>
    <t>ΚΟΚΟΝΙΚΟΥ 5</t>
  </si>
  <si>
    <t>1ο ΔΗΜΟΤΙΚΟ ΣΧΟΛΕΙΟ ΕΡΕΤΡΙΑΣ</t>
  </si>
  <si>
    <t>mail@1dim-eretr.eyv.sch.gr</t>
  </si>
  <si>
    <t>ΠΑΠΑΝΙΚΟΛΗ</t>
  </si>
  <si>
    <t>6ο ΝΗΠΙΑΓΩΓΕΙΟ ΧΑΛΚΙΔΑΣ</t>
  </si>
  <si>
    <t>mail@6nip-chalk.eyv.sch.gr</t>
  </si>
  <si>
    <t>ΣΑΒΒΑ 11</t>
  </si>
  <si>
    <t>13ο ΝΗΠΙΑΓΩΓΕΙΟ ΧΑΛΚΙΔΑΣ</t>
  </si>
  <si>
    <t>mail@13nip-chalk.eyv.sch.gr</t>
  </si>
  <si>
    <t>ΘΗΒΩΝ 7</t>
  </si>
  <si>
    <t>ΔΗΜΟΤΙΚΟ ΣΧΟΛΕΙΟ ΒΑΘΕΟΣ ΑΥΛΙΔΟΣ</t>
  </si>
  <si>
    <t>mail@dim-vatheos.eyv.sch.gr</t>
  </si>
  <si>
    <t>ΒΑΘΕΟΣ ΑΥΛΙΔΑΣ</t>
  </si>
  <si>
    <t>ΒΑΘΥ ΑΥΛΙΔΟΣ</t>
  </si>
  <si>
    <t>ΔΗΜΟΤΙΚΟ ΣΧΟΛΕΙΟ ΠΑΡΑΛΙΑΣ ΑΥΛΙΔΑΣ</t>
  </si>
  <si>
    <t>mail@dim-paral.eyv.sch.gr</t>
  </si>
  <si>
    <t>ΠΑΡΑΛΙΑ ΑΥΛΙΔΑΣ</t>
  </si>
  <si>
    <t>1ο ΔΗΜΟΤΙΚΟ ΣΧΟΛΕΙΟ ΧΑΛΚΙΔΑΣ</t>
  </si>
  <si>
    <t>mail@1dim-chalk.eyv.sch.gr</t>
  </si>
  <si>
    <t>ΛΟΥΚΑ ΠΑΠΑΛΟΥΚΑ 8</t>
  </si>
  <si>
    <t>2ο ΔΗΜΟΤΙΚΟ ΣΧΟΛΕΙΟ ΧΑΛΚΙΔΑΣ</t>
  </si>
  <si>
    <t>mail@2dim-chalk.eyv.sch.gr</t>
  </si>
  <si>
    <t>ΕΥΒΟΙΑΣ 1</t>
  </si>
  <si>
    <t>4ο ΔΗΜΟΤΙΚΟ ΣΧΟΛΕΙΟ ΧΑΛΚΙΔΑΣ</t>
  </si>
  <si>
    <t>mail@4dim-chalk.eyv.sch.gr</t>
  </si>
  <si>
    <t>ΝΕΟΦΥΤΟΥ 29</t>
  </si>
  <si>
    <t>6ο ΔΗΜΟΤΙΚΟ ΣΧΟΛΕΙΟ ΧΑΛΚΙΔΑΣ</t>
  </si>
  <si>
    <t>mail@6dim-chalk.eyv.sch.gr</t>
  </si>
  <si>
    <t>ΕΛΛΟΠΟΣ 20</t>
  </si>
  <si>
    <t>12ο ΔΗΜΟΤΙΚΟ ΣΧΟΛΕΙΟ ΧΑΛΚΙΔΑΣ</t>
  </si>
  <si>
    <t>mail@12dim-chalk.eyv.sch.gr</t>
  </si>
  <si>
    <t>ΚΑΛΛΙΘΕΑΣ 9</t>
  </si>
  <si>
    <t>14ο ΔΗΜΟΤΙΚΟ ΣΧΟΛΕΙΟ ΧΑΛΚΙΔΑΣ</t>
  </si>
  <si>
    <t>mail@14dim-chalk.eyv.sch.gr</t>
  </si>
  <si>
    <t>ΛΟΦΟΣ ΑΓ. ΚΩΝΣΤΑΝΤΙΝΟΥ</t>
  </si>
  <si>
    <t>15ο ΔΗΜΟΤΙΚΟ ΣΧΟΛΕΙΟ ΧΑΛΚΙΔΑΣ</t>
  </si>
  <si>
    <t>mail@15dim-chalk.eyv.sch.gr</t>
  </si>
  <si>
    <t>Θηβών 6</t>
  </si>
  <si>
    <t>21ο ΔΗΜΟΤΙΚΟ ΣΧΟΛΕΙΟ ΧΑΛΚΙΔΑΣ</t>
  </si>
  <si>
    <t>mail@21dim-chalk.eyv.sch.gr</t>
  </si>
  <si>
    <t>Δ.ΣΟΛΩΜΟΥ - ΚΑΨΑΛΗ</t>
  </si>
  <si>
    <t>1ο ΝΗΠΙΑΓΩΓΕΙΟ ΠΑΡΑΛΙΑΣ ΑΥΛΙΔΟΣ</t>
  </si>
  <si>
    <t>mail@nip-paral.eyv.sch.gr</t>
  </si>
  <si>
    <t>ΠΑΡΑΛΙΑΣ ΑΥΛΙΔΟΣ</t>
  </si>
  <si>
    <t>ΠΑΡΑΛΙΑ ΑΥΛΙΔΟΣ</t>
  </si>
  <si>
    <t>1ο ΝΗΠΙΑΓΩΓΕΙΟ ΒΑΘΕΟΣ ΑΥΛΙΔΟΣ</t>
  </si>
  <si>
    <t>mail@nip-vatheos.eyv.sch.gr</t>
  </si>
  <si>
    <t>ΒΑΘΕΟΣ ΑΥΛΙΔΟΣ</t>
  </si>
  <si>
    <t>ΤΣΕΛΛΑ ΚΑΙ ΛΕΙΒΑΔΙΤΗ</t>
  </si>
  <si>
    <t>5ο ΝΗΠΙΑΓΩΓΕΙΟ ΧΑΛΚΙΔΑΣ</t>
  </si>
  <si>
    <t>mail@5nip-chalk.eyv.sch.gr</t>
  </si>
  <si>
    <t>ΕΛ. ΒΕΝΙΖΕΛΟΥ 73</t>
  </si>
  <si>
    <t>7ο ΝΗΠΙΑΓΩΓΕΙΟ ΧΑΛΚΙΔΑΣ</t>
  </si>
  <si>
    <t>mail@7nip-chalk.eyv.sch.gr</t>
  </si>
  <si>
    <t>ΠΑΝΙΩΝΙΩΝ ΚΑΙ ΑΓΑΠΗΣ</t>
  </si>
  <si>
    <t>9ο ΝΗΠΙΑΓΩΓΕΙΟ ΧΑΛΚΙΔΑΣ</t>
  </si>
  <si>
    <t>mail@9nip-chalk.eyv.sch.gr</t>
  </si>
  <si>
    <t>ΛΙΚΑΡΙΟΥ 15</t>
  </si>
  <si>
    <t>17ο  ΝΗΠΙΑΓΩΓΕΙΟ ΧΑΛΚΙΔΑΣ</t>
  </si>
  <si>
    <t>mail@17nip-chalk.eyv.sch.gr</t>
  </si>
  <si>
    <t>ΖΑΧΑΡΟΠΟΥΛΟΥ ΚΑΙ ΤΑΣΟΥ ΠΑΠΑΠΟΣΤΟΛΟΥ</t>
  </si>
  <si>
    <t>29ο ΝΗΠΙΑΓΩΓΕΙΟ ΧΑΛΚΙΔΑΣ</t>
  </si>
  <si>
    <t>mail@29nip-chalk.eyv.sch.gr</t>
  </si>
  <si>
    <t>ΝΙΚΟΔΗΜΟΥ ΚΑΙ ΑΠΟΛΛΩΝΟΣ  ΚΑΝΗΘΟΣ</t>
  </si>
  <si>
    <t>2ο    ΝΗΠΙΑΓΩΓΕΙΟ ΙΣΤΙΑΙΑΣ</t>
  </si>
  <si>
    <t>mail@2nip-istiaias.eyv.sch.gr</t>
  </si>
  <si>
    <t>ΙΣΤΙΑΙΑΣ</t>
  </si>
  <si>
    <t>ΤΣΑΚΑΛΟΥ</t>
  </si>
  <si>
    <t>ΔΗΜΟΤΙΚΟ ΣΧΟΛΕΙΟ ΦΑΡΟΥ ΑΥΛΙΔΑΣ</t>
  </si>
  <si>
    <t>mail@dim-farou.eyv.sch.gr</t>
  </si>
  <si>
    <t>ΦΑΡΟΣ  ΑΥΛΙΔΑΣ</t>
  </si>
  <si>
    <t>28ΗΣ  ΟΚΤΩΒΡΙΟΥ ΦΑΡΟΣ ΑΥΛΙΔΑΣ</t>
  </si>
  <si>
    <t>16ο ΔΗΜΟΤΙΚΟ ΣΧΟΛΕΙΟ ΧΑΛΚΙΔΑΣ</t>
  </si>
  <si>
    <t>mail@16dim-chalk.eyv.sch.gr</t>
  </si>
  <si>
    <t>ΑΓΙΑ ΕΛΕΟΥΣΑ</t>
  </si>
  <si>
    <t>24ο ΝΗΠΙΑΓΩΓΕΙΟ ΧΑΛΚΙΔΑΣ</t>
  </si>
  <si>
    <t>mail@24nip-chalk.eyv.sch.gr</t>
  </si>
  <si>
    <t>ΜΑΝΤΑΡΙΝΙΑΣ &amp; ΙΟΛΑΟΥ</t>
  </si>
  <si>
    <t>25ο ΝΗΠΙΑΓΩΓΕΙΟ ΧΑΛΚΙΔΑΣ</t>
  </si>
  <si>
    <t>mail@25nip-chalk.eyv.sch.gr</t>
  </si>
  <si>
    <t>ΜΕΓΑΣΘΕΝΟΥΣ ΚΑΙ ΜΑΚΡΙΔΟΣ</t>
  </si>
  <si>
    <t>26ο ΝΗΠΙΑΓΩΓΕΙΟ ΧΑΛΚΙΔΑΣ</t>
  </si>
  <si>
    <t>mail@26nip-chalk.eyv.sch.gr</t>
  </si>
  <si>
    <t>ΠΑΡΟΔΟΣ ΟΡΕΣΤΗ ΜΑΚΡΗ</t>
  </si>
  <si>
    <t>2ο ΝΗΠΙΑΓΩΓΕΙΟ ΑΜΑΡΥΝΘΟΥ</t>
  </si>
  <si>
    <t>mail@2nip-amarynth.eyv.sch.gr</t>
  </si>
  <si>
    <t>ΚΟΚΟΝΙΚΟΥ &amp; ΠΑΥΛΟΥ ΜΕΛΑ</t>
  </si>
  <si>
    <t>ΝΗΠΙΑΓΩΓΕΙΟ ΑΦΡΑΤΙΟΥ</t>
  </si>
  <si>
    <t>mail@nip-afrat.eyv.sch.gr</t>
  </si>
  <si>
    <t>ΑΦΡΑΤΙΟΥ</t>
  </si>
  <si>
    <t>1ο ΝΗΠΙΑΓΩΓΕΙΟ ΒΑΣΙΛΙΚΟΥ</t>
  </si>
  <si>
    <t>mail@1nip-vasil.eyv.sch.gr</t>
  </si>
  <si>
    <t>ΒΑΣΙΛΙΚΟΥ</t>
  </si>
  <si>
    <t>25 ΜΑΡΤΙΟΥ Κ. ΣΟΛΩΜΟΥ</t>
  </si>
  <si>
    <t>2ο ΝΗΠΙΑΓΩΓΕΙΟ ΒΑΣΙΛΙΚΟΥ</t>
  </si>
  <si>
    <t>mail@2nip-vasil.eyv.sch.gr</t>
  </si>
  <si>
    <t>ΚΑΡΑΙΣΚΑΚΗ 4</t>
  </si>
  <si>
    <t>1ο ΝΗΠΙΑΓΩΓΕΙΟ ΔΡΟΣΙΑΣ</t>
  </si>
  <si>
    <t>mail@1nip-drosias.eyv.sch.gr</t>
  </si>
  <si>
    <t>ΧΑΡΙΛΑΟΥ ΤΡΙΚΟΥΠΗ 2</t>
  </si>
  <si>
    <t>ΔΗΜΟΤΙΚΟ ΣΧΟΛΕΙΟ ΛΟΥΤΡΩΝ ΑΙΔΗΨΟΥ</t>
  </si>
  <si>
    <t>mail@dim-loutr.eyv.sch.gr</t>
  </si>
  <si>
    <t>ΛΟΥΤΡΑ  ΑΙΔΗΨΟΥ</t>
  </si>
  <si>
    <t>ΕΙΚΟΣΤΗΣ ΠΕΜΠΤΗΣ ΜΑΡΤΙΟΥ</t>
  </si>
  <si>
    <t>1ο ΝΗΠΙΑΓΩΓΕΙΟ ΝΕΑΣ ΑΡΤΑΚΗΣ</t>
  </si>
  <si>
    <t>mail@1nip-n-artak.eyv.sch.gr</t>
  </si>
  <si>
    <t>ΝΕΑΣ ΑΡΤΑΚΗΣ</t>
  </si>
  <si>
    <t>ΔΗΜΑΡΧΕΙΟ Ν. ΑΡΤΑΚΗΣ</t>
  </si>
  <si>
    <t>10ο ΝΗΠΙΑΓΩΓΕΙΟ ΧΑΛΚΙΔΑΣ</t>
  </si>
  <si>
    <t>mail@10nip-chalk.eyv.sch.gr</t>
  </si>
  <si>
    <t>ΒΩΚΟΥ 53</t>
  </si>
  <si>
    <t>3ο ΔΗΜΟΤΙΚΟ ΣΧΟΛΕΙΟ ΧΑΛΚΙΔΑΣ - ΕΥΑΓΟΡΑΣ ΠΑΛΛΗΚΑΡΙΔΗΣ</t>
  </si>
  <si>
    <t>mail@3dim-chalk.eyv.sch.gr</t>
  </si>
  <si>
    <t>ΤΖΙΑΡΝΤΙΝΙ 4-6</t>
  </si>
  <si>
    <t>11ο ΝΗΠΙΑΓΩΓΕΙΟ ΧΑΛΚΙΔΑΣ</t>
  </si>
  <si>
    <t>mail@11nip-chalk.eyv.sch.gr</t>
  </si>
  <si>
    <t>ΚΗΡΕΩΣ 1</t>
  </si>
  <si>
    <t>12ο ΝΗΠΙΑΓΩΓΕΙΟ ΧΑΛΚΙΔΑΣ</t>
  </si>
  <si>
    <t>mail@12nip-chalk.eyv.sch.gr</t>
  </si>
  <si>
    <t>ΕΞΩ ΠΑΝΑΓΙΤΣΑ-Γ.ΠΑΠΑΝΔΡΕΟΥ</t>
  </si>
  <si>
    <t>15ο ΝΗΠΙΑΓΩΓΕΙΟ ΧΑΛΚΙΔΑΣ</t>
  </si>
  <si>
    <t>mail@15nip-chalk.eyv.sch.gr</t>
  </si>
  <si>
    <t>ΚΡΗΤΗΣ 25 Λ.ΑΜΜΟΣ</t>
  </si>
  <si>
    <t>18ο ΝΗΠΙΑΓΩΓΕΙΟ ΧΑΛΚΙΔΑΣ</t>
  </si>
  <si>
    <t>mail@18nip-chalk.eyv.sch.gr</t>
  </si>
  <si>
    <t>ΑΓΙΑ ΕΛΕΟΥΣΑ ΧΑΛΚΙΔΑΣ</t>
  </si>
  <si>
    <t>2ο ΝΗΠΙΑΓΩΓΕΙΟ ΨΑΧΝΩΝ</t>
  </si>
  <si>
    <t>mail@2nip-psachn.eyv.sch.gr</t>
  </si>
  <si>
    <t>ΔΑΒΑΚΗ ΚΑΙ ΙΩΑΝΝΗ ΜΕΤΑΞΑ 15</t>
  </si>
  <si>
    <t>2ο ΔΗΜΟΤΙΚΟ ΣΧΟΛΕΙΟ ΚΑΡΥΣΤΟΥ</t>
  </si>
  <si>
    <t>mail@2dim-karyst.eyv.sch.gr</t>
  </si>
  <si>
    <t>ΚΑΡΥΣΤΟΣ</t>
  </si>
  <si>
    <t>ΣΑΧΤΟΥΡΗ &amp; Π. ΚΟΤΣΙΚΑ</t>
  </si>
  <si>
    <t>2ο ΔΗΜΟΤΙΚΟ ΣΧΟΛΕΙΟ ΙΣΤΙΑΙΑΣ</t>
  </si>
  <si>
    <t>mail@2dim-istiaias.eyv.sch.gr</t>
  </si>
  <si>
    <t>1ο ΔΗΜΟΤΙΚΟ ΣΧΟΛΕΙΟ ΚΑΡΥΣΤΟΥ - ΚΟΤΣΙΚΕΙΟ</t>
  </si>
  <si>
    <t>mail@dim-karyst.eyv.sch.gr</t>
  </si>
  <si>
    <t>ΘΕΟΧΑΡΗ ΚΟΤΣΙΚΑ 57</t>
  </si>
  <si>
    <t>2ο ΔΗΜΟΤΙΚΟ ΣΧΟΛΕΙΟ ΨΑΧΝΩΝ</t>
  </si>
  <si>
    <t>mail@2dim-psachn.eyv.sch.gr</t>
  </si>
  <si>
    <t>ΣΚΛΗΡΟ - ΨΑΧΝΑ ΕΥΒΟΙΑΣ</t>
  </si>
  <si>
    <t>3ο ΝΗΠΙΑΓΩΓΕΙΟ ΚΑΡΥΣΤΟΥ</t>
  </si>
  <si>
    <t>mail@3nip-karyst.eyv.sch.gr</t>
  </si>
  <si>
    <t>KONTOΡEMATA  ΚΑΡΥΣΤΟΥ</t>
  </si>
  <si>
    <t>2ο ΝΗΠΙΑΓΩΓΕΙΟ ΚΑΡΥΣΤΟΥ</t>
  </si>
  <si>
    <t>mail@2nip-karyst.eyv.sch.gr</t>
  </si>
  <si>
    <t>ΟΔΥΣΣΕΩΣ 100</t>
  </si>
  <si>
    <t>13ο ΔΗΜΟΤΙΚΟ ΣΧΟΛΕΙΟ ΧΑΛΚΙΔΑΣ</t>
  </si>
  <si>
    <t>mail@13dim-chalk.eyv.sch.gr</t>
  </si>
  <si>
    <t>ΝΗΛΕΩΣ 1</t>
  </si>
  <si>
    <t>1ο ΔΗΜΟΤΙΚΟ ΣΧΟΛΕΙΟ ΝΕΑΣ ΑΡΤΑΚΗΣ</t>
  </si>
  <si>
    <t>mail@1dim-n-artak.eyv.sch.gr</t>
  </si>
  <si>
    <t xml:space="preserve">ΝΕΑ ΑΡΤΑΚΗ </t>
  </si>
  <si>
    <t>ΚΥΖΙΚΟΥ 26</t>
  </si>
  <si>
    <t>2ο ΔΗΜΟΤΙΚΟ ΣΧΟΛΕΙΟ ΝΕΑΣ ΑΡΤΑΚΗΣ</t>
  </si>
  <si>
    <t>mail@2dim-n-artak.eyv.sch.gr</t>
  </si>
  <si>
    <t>ΠΑΝΑΓΙΑΣ ΦΑΝΕΡΩΜΕΝΗΣ</t>
  </si>
  <si>
    <t>11ο ΔΗΜΟΤΙΚΟ ΣΧΟΛΕΙΟ ΧΑΛΚΙΔΑΣ</t>
  </si>
  <si>
    <t>mail@11dim-chalk.eyv.sch.gr</t>
  </si>
  <si>
    <t>ΚΡΙΝΩΝ 2, ΕΞΩ ΠΑΝΑΓΙΤΣΑ</t>
  </si>
  <si>
    <t>2ο ΔΗΜΟΤΙΚΟ ΣΧΟΛΕΙΟ ΕΡΕΤΡΙΑΣ</t>
  </si>
  <si>
    <t>mail@2dim-eretr.eyv.sch.gr</t>
  </si>
  <si>
    <t>ΤΙΜΟΚΡΑΤΟΥΣ ΦΑΝΟΚΛΕΟΥΣ &amp; ΚΑΝΑΡΗ</t>
  </si>
  <si>
    <t>1ο ΝΗΠΙΑΓΩΓΕΙΟ ΛΟΥΤΡΩΝ ΑΙΔΗΨΟΥ</t>
  </si>
  <si>
    <t>mail@nip-loutr.eyv.sch.gr</t>
  </si>
  <si>
    <t>ΛΟΥΤΡΑ ΑΙΔΗΨΟΥ</t>
  </si>
  <si>
    <t>ΘΕΡΜΟΠΟΤΑΜΟΥ 21</t>
  </si>
  <si>
    <t>24ο ΔΗΜΟΤΙΚΟ ΣΧΟΛΕΙΟ ΧΑΛΚΙΔΑΣ</t>
  </si>
  <si>
    <t>mail@24dim-chalk.eyv.sch.gr</t>
  </si>
  <si>
    <t>ΤΕΡΜΑ ΟΔ. ΜΑΝΤΑΡΙΝΙΑΣ-ΑΓ. ΑΝΑΡΓΥΡΟΙ- ΕΞΩ ΠΑΝΑΓΙΤΣΑ -ΧΑΛΚΙΔΑ</t>
  </si>
  <si>
    <t>3ο ΔΗΜΟΤΙΚΟ ΣΧΟΛΕΙΟ ΑΛΙΒΕΡΙΟΥ</t>
  </si>
  <si>
    <t>mail@3dim-aliver.eyv.sch.gr</t>
  </si>
  <si>
    <t>ΚΥΜΗΣ-ΑΛΙΒΕΡΙΟΥ</t>
  </si>
  <si>
    <t>Αλιβέρι,</t>
  </si>
  <si>
    <t>ΚΑΡΑΒΟΣ</t>
  </si>
  <si>
    <t>8ο ΔΗΜΟΤΙΚΟ ΣΧΟΛΕΙΟ ΧΑΛΚΙΔΑΣ</t>
  </si>
  <si>
    <t>mail@8dim-chalk.eyv.sch.gr</t>
  </si>
  <si>
    <t>ΑΝΘΕΩΝ</t>
  </si>
  <si>
    <t>22ο ΔΗΜΟΤΙΚΟ ΣΧΟΛΕΙΟ ΧΑΛΚΙΔΑΣ</t>
  </si>
  <si>
    <t>mail@22dim-chalk.eyv.sch.gr</t>
  </si>
  <si>
    <t>Εμμανουήλ Ξάνθου 2</t>
  </si>
  <si>
    <t>1ο ΝΗΠΙΑΓΩΓΕΙΟ ΚΑΡΥΣΤΟΥ</t>
  </si>
  <si>
    <t>mail@1nip-karyst.eyv.sch.gr</t>
  </si>
  <si>
    <t>ΙΩΑΝΝΗ ΚΟΤΣΙΚΑ 48</t>
  </si>
  <si>
    <t>ΔΗΜΟΤΙΚΟ ΣΧΟΛΕΙΟ ΓΥΜΝΟΥ</t>
  </si>
  <si>
    <t>mail@dim-gymnou.eyv.sch.gr</t>
  </si>
  <si>
    <t>ΓΥΜΝΟ ΕΥΒΟΙΑΣ</t>
  </si>
  <si>
    <t>ΔΗΜΟΤΙΚΟ ΣΧΟΛΕΙΟ  ΜΑΝΤΟΥΔΙΟΥ</t>
  </si>
  <si>
    <t>mail@1dim-mantoud.eyv.sch.gr</t>
  </si>
  <si>
    <t>ΜΑΝΤΟΥΔΙ</t>
  </si>
  <si>
    <t>2ο ΝΗΠΙΑΓΩΓΕΙΟ ΑΛΙΒΕΡΙΟΥ</t>
  </si>
  <si>
    <t>mail@2nip-aliver.eyv.sch.gr</t>
  </si>
  <si>
    <t>ΑΛΙΒΕΡΙΟΥ</t>
  </si>
  <si>
    <t>ΣΑΜΑΡΑ</t>
  </si>
  <si>
    <t>1ο ΝΗΠΙΑΓΩΓΕΙΟ ΑΛΙΒΕΡΙΟΥ</t>
  </si>
  <si>
    <t>mail@1nip-aliver.eyv.sch.gr</t>
  </si>
  <si>
    <t>ΣΤΕΝΟ ΑΛΙΒΕΡΙΟΥ</t>
  </si>
  <si>
    <t>2ο ΔΗΜΟΤΙΚΟ ΣΧΟΛΕΙΟ ΚΥΜΗΣ</t>
  </si>
  <si>
    <t>mail@2dim-kymis.eyv.sch.gr</t>
  </si>
  <si>
    <t>ΚΥΜΗΣ</t>
  </si>
  <si>
    <t>ΚΥΜΗ</t>
  </si>
  <si>
    <t>1ο ΔΗΜΟΤΙΚΟ ΣΧΟΛΕΙΟ ΚΥΜΗΣ</t>
  </si>
  <si>
    <t>mail@1dim-kymis.eyv.sch.gr</t>
  </si>
  <si>
    <t>ΚΥΜΗ 34003</t>
  </si>
  <si>
    <t>2ο  ΝΗΠΙΑΓΩΓΕΙΟ ΚΥΜΗΣ</t>
  </si>
  <si>
    <t>mail@2nip-kymis.eyv.sch.gr</t>
  </si>
  <si>
    <t>8ο ΝΗΠΙΑΓΩΓΕΙΟ ΧΑΛΚΙΔΑΣ</t>
  </si>
  <si>
    <t>mail@8nip-chalk.eyv.sch.gr</t>
  </si>
  <si>
    <t>Μιχαήλ Κακαρά 48</t>
  </si>
  <si>
    <t>ΔΗΜΟΤΙΚΟ ΣΧΟΛΕΙΟ ΩΡΕΩΝ</t>
  </si>
  <si>
    <t>mail@dim-oreon.eyv.sch.gr</t>
  </si>
  <si>
    <t>Ωρεοί</t>
  </si>
  <si>
    <t>Ωρεοί  Εύβοιας</t>
  </si>
  <si>
    <t>ΔΗΜΟΤΙΚΟ ΣΧΟΛΕΙΟ ΚΟΝΙΣΤΡΩΝ</t>
  </si>
  <si>
    <t>mail@dim-konistr.eyv.sch.gr</t>
  </si>
  <si>
    <t>ΚΟΝΙΣΤΡΕΣ</t>
  </si>
  <si>
    <t>ΔΗΜΟΤΙΚΟ ΣΧΟΛΕΙΟ ΑΥΛΩΝΑΡΙΟΥ</t>
  </si>
  <si>
    <t>mail@dim-avlon.eyv.sch.gr</t>
  </si>
  <si>
    <t>ΑΥΛΩΝΑΡΙ</t>
  </si>
  <si>
    <t>ΑΥΛΩΝΑΡΙ ΕΥΒΟΙΑΣ</t>
  </si>
  <si>
    <t>ΔΗΜΟΤΙΚΟ ΣΧΟΛΕΙΟ ΚΡΙΕΖΩΝ</t>
  </si>
  <si>
    <t>mail@dim-kriez.eyv.sch.gr</t>
  </si>
  <si>
    <t>ΚΡΙΕΖΑ</t>
  </si>
  <si>
    <t>ΚΡΙΕΖΑ ΕΥΒΟΙΑΣ</t>
  </si>
  <si>
    <t>ΔΗΜΟΤΙΚΟ ΣΧΟΛΕΙΟ ΛΙΜΝΗΣ</t>
  </si>
  <si>
    <t>mail@dim-limnis.eyv.sch.gr</t>
  </si>
  <si>
    <t>ΛΙΜΝΗ</t>
  </si>
  <si>
    <t>1ο ΔΗΜΟΤΙΚΟ ΣΧΟΛΕΙΟ ΑΛΙΒΕΡΙΟΥ</t>
  </si>
  <si>
    <t>mail@1dim-aliver.eyv.sch.gr</t>
  </si>
  <si>
    <t>Γ. ΠΑΠΑΝΙΚΟΛΑΟΥ 34</t>
  </si>
  <si>
    <t>ΔΗΜΟΤΙΚΟ ΣΧΟΛΕΙΟ ΣΚΥΡΟΥ</t>
  </si>
  <si>
    <t>mail@dim-skyrou.eyv.sch.gr</t>
  </si>
  <si>
    <t>ΣΚΥΡΟΥ</t>
  </si>
  <si>
    <t>ΣΚΥΡΟΣ</t>
  </si>
  <si>
    <t>2ο ΔΗΜΟΤΙΚΟ ΣΧΟΛΕΙΟ ΑΛΙΒΕΡΙΟΥ</t>
  </si>
  <si>
    <t>2dimalive@sch.gr</t>
  </si>
  <si>
    <t>ΑΛΙΒΕΡΙ</t>
  </si>
  <si>
    <t>Ν.Δ. ΚΟΥΒΑΡΑ 0, ΚΟΚΚΙΝΟΓΕΙΑ</t>
  </si>
  <si>
    <t>ΝΗΠΙΑΓΩΓΕΙΟ ΚΟΝΙΣΤΡΩΝ</t>
  </si>
  <si>
    <t>mail@nip-konistr.eyv.sch.gr</t>
  </si>
  <si>
    <t>ΚΟΝΙΣΤΡΩΝ</t>
  </si>
  <si>
    <t>ΚΟΝΙΣΤΡΕΣ ΕΥΒΟΙΑΣ</t>
  </si>
  <si>
    <t>19ο ΔΗΜΟΤΙΚΟ ΣΧΟΛΕΙΟ ΧΑΛΚΙΔΑΣ</t>
  </si>
  <si>
    <t>mail@19dim-chalk.eyv.sch.gr</t>
  </si>
  <si>
    <t>ΔΗΜΟΚΡΙΤΟΥ 16</t>
  </si>
  <si>
    <t>ΔΗΜΟΤΙΚΟ ΣΧΟΛΕΙΟ ΟΞΥΛΙΘΟΥ</t>
  </si>
  <si>
    <t>mail@dim-oxylith.eyv.sch.gr</t>
  </si>
  <si>
    <t>ΟΞΥΛΙΘΟΣ</t>
  </si>
  <si>
    <t>30ο ΝΗΠΙΑΓΩΓΕΙΟ ΧΑΛΚΙΔΑΣ</t>
  </si>
  <si>
    <t>mail@30nip-chalk.eyv.sch.gr</t>
  </si>
  <si>
    <t>ΓΙΑΝΝΙΤΣΗ 36</t>
  </si>
  <si>
    <t>3ο ΝΗΠΙΑΓΩΓΕΙΟ ΔΡΟΣΙΑΣ</t>
  </si>
  <si>
    <t>mail@3nip-drosias.eyv.sch.gr</t>
  </si>
  <si>
    <t>ΚΑΛΛΙΘΕΑΣ    2</t>
  </si>
  <si>
    <t>4ο ΝΗΠΙΑΓΩΓΕΙΟ ΝΕΑΣ ΑΡΤΑΚΗΣ</t>
  </si>
  <si>
    <t>mail@4nip-n-artak.eyv.sch.gr</t>
  </si>
  <si>
    <t>ΠΕΡΙΟΧΗ ΒΟΛΕΡΙ</t>
  </si>
  <si>
    <t>3ο ΝΗΠΙΑΓΩΓΕΙΟ ΣΚΥΡΟΥ</t>
  </si>
  <si>
    <t>mail@3nip-skyrou.eyv.sch.gr</t>
  </si>
  <si>
    <t>3ο ΝΗΠΙΑΓΩΓΕΙΟ ΕΡΕΤΡΙΑΣ</t>
  </si>
  <si>
    <t>mail@3nip-eretr.eyv.sch.gr</t>
  </si>
  <si>
    <t>ΦΑΝΟΚΛΕΟΥΣ ΤΙΜΟΚΡΑΤΟΥΣ</t>
  </si>
  <si>
    <t>5ο ΝΗΠΙΑΓΩΓΕΙΟ ΒΑΣΙΛΙΚΟΥ</t>
  </si>
  <si>
    <t>mail@5nip-vasil.eyv.sch.gr</t>
  </si>
  <si>
    <t>Μ.ΑΛΕΞΑΝΔΡΟΥ 5</t>
  </si>
  <si>
    <t>33ο ΝΗΠΙΑΓΩΓΕΙΟ ΧΑΛΚΙΔΑΣ</t>
  </si>
  <si>
    <t>mail@33nip-chalk.eyv.sch.gr</t>
  </si>
  <si>
    <t>ΕΜΜ. ΞΑΝΘΟΥ 2- ΤΕΡΜΑ ΑΘΑΝΑΣΙΟΥ ΔΙΑΚΟΥ</t>
  </si>
  <si>
    <t>Π.Ε. ΕΥΡΥΤΑΝΙΑΣ</t>
  </si>
  <si>
    <t>4ο ΔΗΜΟΤΙΚΟ ΣΧΟΛΕΙΟ ΚΑΡΠΕΝΗΣΙΟΥ</t>
  </si>
  <si>
    <t>mail@4dim-karpen.eyr.sch.gr</t>
  </si>
  <si>
    <t>ΚΑΡΠΕΝΗΣΙΟΥ</t>
  </si>
  <si>
    <t>ΚΑΡΠΕΝΗΣΙ</t>
  </si>
  <si>
    <t>ΑΘΑΝΑΣΙΟΥ ΚΑΡΠΕΝΗΣΙΩΤΗ 103</t>
  </si>
  <si>
    <t>ΔΗΜΟΤΙΚΟ ΣΧΟΛΕΙΟ ΡΑΠΤΟΠΟΥΛΟΥ</t>
  </si>
  <si>
    <t>mail@dim-raptop.eyr.sch.gr</t>
  </si>
  <si>
    <t>ΑΓΡΑΦΩΝ</t>
  </si>
  <si>
    <t>ΡΑΠΤΟΠΟΥΛΟ</t>
  </si>
  <si>
    <t>ΡΑΠΤΟΠΟΥΛΟ ΕΥΡΥΤΑΝΙΑΣ</t>
  </si>
  <si>
    <t>ΔΗΜΟΤΙΚΟ ΣΧΟΛΕΙΟ ΓΡΑΝΙΤΣΑΣ</t>
  </si>
  <si>
    <t>mail@dim-granits.eyr.sch.gr</t>
  </si>
  <si>
    <t>ΓΡΑΝΙΤΣΑ</t>
  </si>
  <si>
    <t>ΓΡΑΝΙΤΣΑ ΕΥΡΥΤΑΝΙΑΣ</t>
  </si>
  <si>
    <t>3ο ΔΗΜΟΤΙΚΟ ΣΧΟΛΕΙΟ ΚΑΡΠΕΝΗΣΙΟΥ</t>
  </si>
  <si>
    <t>mail@3dim-karpen.eyr.sch.gr</t>
  </si>
  <si>
    <t>Καρπενήσι</t>
  </si>
  <si>
    <t>Αμοργού 6</t>
  </si>
  <si>
    <t>1ο  ΝΗΠΙΑΓΩΓΕΙΟ ΚΑΡΠΕΝΗΣΙΟΥ</t>
  </si>
  <si>
    <t>mail@1nip-karpen.eyr.sch.gr</t>
  </si>
  <si>
    <t>ΓΕΩΡΓΙΟΥ ΚΑΡΑΪΣΚΑΚΗ 26</t>
  </si>
  <si>
    <t>3ο ΝΗΠΙΑΓΩΓΕΙΟ ΚΑΡΠΕΝΗΣΙΟΥ</t>
  </si>
  <si>
    <t>mail@3nip-karpen.eyr.sch.gr</t>
  </si>
  <si>
    <t>ΡΟΔΟΥ 6</t>
  </si>
  <si>
    <t>4ο  ΝΗΠΙΑΓΩΓΕΙΟ ΚΑΡΠΕΝΗΣΙΟΥ</t>
  </si>
  <si>
    <t>mail@4nip-karpen.eyr.sch.gr</t>
  </si>
  <si>
    <t>2ο ΝΗΠΙΑΓΩΓΕΙΟ ΚΑΡΠΕΝΗΣΙΟΥ</t>
  </si>
  <si>
    <t>mail@2nip-karpen.eyr.sch.gr</t>
  </si>
  <si>
    <t>ΑΘΑΝΑΣΙΟΥ ΚΑΡΠΕΝΗΣΙΩΤΗ 59</t>
  </si>
  <si>
    <t>1ο ΔΗΜΟΤΙΚΟ ΣΧΟΛΕΙΟ ΚΑΡΠΕΝΗΣΙΟΥ</t>
  </si>
  <si>
    <t>1dimkarpen@sch.gr</t>
  </si>
  <si>
    <t>Γεωργίου Καραϊσκάκη  26</t>
  </si>
  <si>
    <t>2ο  ΔΗΜΟΤΙΚΟ ΣΧΟΛΕΙΟ ΚΑΡΠΕΝΗΣΙΟΥ</t>
  </si>
  <si>
    <t>mail@2dim-karpen.eyr.sch.gr</t>
  </si>
  <si>
    <t>Π.Ε. ΦΘΙΩΤΙΔΑΣ</t>
  </si>
  <si>
    <t>ΔΗΜΟΤΙΚΟ ΣΧΟΛΕΙΟ ΚΑΜΕΝΩΝ ΒΟΥΡΛΩΝ</t>
  </si>
  <si>
    <t>mail@dim-k-vourl.fth.sch.gr</t>
  </si>
  <si>
    <t>ΚΑΜΕΝΩΝ ΒΟΥΡΛΩΝ</t>
  </si>
  <si>
    <t>ΚΑΜΕΝΑ ΒΟΥΡΛΑ</t>
  </si>
  <si>
    <t>ΕΙΚΟΣΤΗ ΠΕΜΠΤΗ ΜΑΡΤΙΟΥ 7</t>
  </si>
  <si>
    <t>3ο ΔΗΜΟΤΙΚΟ ΣΧΟΛΕΙΟ ΛΑΜΙΑΣ</t>
  </si>
  <si>
    <t>mail@3dim-lamias.fth.sch.gr</t>
  </si>
  <si>
    <t>ΛΑΜΙΕΩΝ</t>
  </si>
  <si>
    <t>ΛΑΜΙΑ</t>
  </si>
  <si>
    <t>ΑΙΝΙΑΝΩΝ 15</t>
  </si>
  <si>
    <t>4ο ΔΗΜΟΤΙΚΟ ΣΧΟΛΕΙΟ ΛΑΜΙΑΣ</t>
  </si>
  <si>
    <t>mail@4dim-lamias.fth.sch.gr</t>
  </si>
  <si>
    <t>ΛΑΜΙΑ  ΑΒΕΡΩΦ 1</t>
  </si>
  <si>
    <t>9ο ΔΗΜΟΤΙΚΟ ΣΧΟΛΕΙΟ ΛΑΜΙΑΣ</t>
  </si>
  <si>
    <t>mail@9dim-lamias.fth.sch.gr</t>
  </si>
  <si>
    <t>ΑΒΕΡΩΦ 1</t>
  </si>
  <si>
    <t>7ο ΔΗΜΟΤΙΚΟ ΣΧΟΛΕΙΟ ΛΑΜΙΑΣ</t>
  </si>
  <si>
    <t>mail@7dim-lamias.fth.sch.gr</t>
  </si>
  <si>
    <t>ΠΡΕΒΕΖΗΣ 22</t>
  </si>
  <si>
    <t>23ο ΔΗΜΟΤΙΚΟ ΣΧΟΛΕΙΟ ΛΑΜΙΑΣ-ΜΕΓΑΛΗ ΒΡΥΣΗ</t>
  </si>
  <si>
    <t>mail@dim-m-vryshs.fth.sch.gr</t>
  </si>
  <si>
    <t>ΛΑΜΙΑ- ΜΕΓ.ΒΡΥΣΗ</t>
  </si>
  <si>
    <t>Γ.ΣΕΦΕΡΗ ΜΕΓ.ΒΡΥΣΗ ΛΑΜΙΑΣ 1</t>
  </si>
  <si>
    <t>21ο ΔΗΜΟΤΙΚΟ ΣΧΟΛΕΙΟ ΛΑΜΙΑΣ - ΣΤΑΥΡΟΥ</t>
  </si>
  <si>
    <t>mail@21dim-stavr.fth.sch.gr</t>
  </si>
  <si>
    <t>ΣΤΑΥΡΟΣ ΛΑΜΙΑΣ</t>
  </si>
  <si>
    <t>ΔΗΜΟΤΙΚΟ  ΣΧΟΛΕΙΟ  ΛΑΡΥΜΝΑΣ</t>
  </si>
  <si>
    <t>mail@dim-larymn.fth.sch.gr</t>
  </si>
  <si>
    <t>ΛΟΚΡΩΝ</t>
  </si>
  <si>
    <t>ΛΑΡΥΜΝΑ</t>
  </si>
  <si>
    <t>ΔΗΜΟΤΙΚΟ ΣΧΟΛΕΙΟ ΑΜΦΙΚΛΕΙΑΣ</t>
  </si>
  <si>
    <t>mail@dim-amfikl.fth.sch.gr</t>
  </si>
  <si>
    <t>ΑΜΦΙΚΛΕΙΑΣ - ΕΛΑΤΕΙΑΣ</t>
  </si>
  <si>
    <t>ΑΜΦΙΚΛΕΙΑ</t>
  </si>
  <si>
    <t>ΑΜΦΙΚΛΕΙΑ  ΜΟΥΣΩΝ 14</t>
  </si>
  <si>
    <t>ΔΗΜΟΤΙΚΟ ΣΧΟΛΕΙΟ ΔΟΜΟΚΟΥ</t>
  </si>
  <si>
    <t>mail@dim-domok.fth.sch.gr</t>
  </si>
  <si>
    <t>ΔΟΜΟΚΟΥ</t>
  </si>
  <si>
    <t>ΔΟΜΟΚΟΣ</t>
  </si>
  <si>
    <t>ΔΟΜΟΚΟΣ ΦΘΙΩΤΙΔΑΣ</t>
  </si>
  <si>
    <t>1ο ΔΗΜΟΤΙΚΟ ΣΧΟΛΕΙΟ ΛΑΜΙΑΣ</t>
  </si>
  <si>
    <t>mail@1dim-lamias.fth.sch.gr</t>
  </si>
  <si>
    <t>Σίφνου &amp; Αιγίνης</t>
  </si>
  <si>
    <t>1ο ΔΗΜΟΤΙΚΟ ΣΧΟΛΕΙΟ ΣΤΥΛΙΔΑΣ</t>
  </si>
  <si>
    <t>mail@1dim-stylid.fth.sch.gr</t>
  </si>
  <si>
    <t>ΣΤΥΛΙΔΟΣ</t>
  </si>
  <si>
    <t>ΣΤΥΛΙΔΑ</t>
  </si>
  <si>
    <t>ΤΕΡΜΑ ΤΡΙΑΝΤΑΦΥΛΛΟΥ</t>
  </si>
  <si>
    <t>2ο ΔΗΜΟΤΙΚΟ ΣΧΟΛΕΙΟ ΛΑΜΙΑΣ</t>
  </si>
  <si>
    <t>mail@2dim-lamias.fth.sch.gr</t>
  </si>
  <si>
    <t>ΛΑΜΙΑ ΥΨΗΛΑΝΤΗ 31</t>
  </si>
  <si>
    <t>5ο ΔΗΜΟΤΙΚΟ ΣΧΟΛΕΙΟ ΛΑΜΙΑΣ</t>
  </si>
  <si>
    <t>mail@5dim-lamias.fth.sch.gr</t>
  </si>
  <si>
    <t>ΛΑΜΙΑ           ΡΑΙΔΕΣΤΟΥ 1</t>
  </si>
  <si>
    <t>15ο ΔΗΜΟΤΙΚΟ ΣΧΟΛΕΙΟ ΛΑΜΙΑΣ</t>
  </si>
  <si>
    <t>mail@15dim-lamias.fth.sch.gr</t>
  </si>
  <si>
    <t>ΒΛΑΧΑΚΟΥ  -ΑΦΑΝΟΣ ΛΑΜΙΑΣ</t>
  </si>
  <si>
    <t>29ο ΝΗΠΙΑΓΩΓΕΙΟ ΛΑΜΙΑΣ</t>
  </si>
  <si>
    <t>mail@29nip-lamias.fth.sch.gr</t>
  </si>
  <si>
    <t>ΤΕΡΜΑ ΚΑΡΠΑΘΟΥ</t>
  </si>
  <si>
    <t>17ο ΝΗΠΙΑΓΩΓΕΙΟ ΛΑΜΙΑΣ</t>
  </si>
  <si>
    <t>mail@17nip-lamias.fth.sch.gr</t>
  </si>
  <si>
    <t>ΛΑΜΙΑΣ</t>
  </si>
  <si>
    <t>ΣΙΦΝΟΥ ΚΑΙ ΑΙΓΙΝΗΣ</t>
  </si>
  <si>
    <t>ΔΗΜΟΤΙΚΟ ΣΧΟΛΕΙΟ ΠΕΛΑΣΓΙΑΣ</t>
  </si>
  <si>
    <t>mail@dim-pelasg.fth.sch.gr</t>
  </si>
  <si>
    <t>ΠΕΛΑΣΓΙΑ ΦΘΙΩΤΙΔΑΣ</t>
  </si>
  <si>
    <t>ΠΕΛΑΣΓΙΑ</t>
  </si>
  <si>
    <t>1ο ΔΗΜΟΤΙΚΟ ΣΧΟΛΕΙΟ ΜΑΛΕΣΙΝΑΣ</t>
  </si>
  <si>
    <t>mail@dim-males.fth.sch.gr</t>
  </si>
  <si>
    <t>Μαλεσίνα,</t>
  </si>
  <si>
    <t>ΜΠΙΚΑ 2</t>
  </si>
  <si>
    <t>2ο ΔΗΜΟΤΙΚΟ ΣΧΟΛΕΙΟ ΜΑΛΕΣΙΝΑΣ</t>
  </si>
  <si>
    <t>mail@2dim-males.fth.sch.gr</t>
  </si>
  <si>
    <t>ΜΑΛΕΣΙΝΑ</t>
  </si>
  <si>
    <t>Δ. ΨΩΡΟΜΙΤΑ 7</t>
  </si>
  <si>
    <t>12ο ΔΗΜΟΤΙΚΟ ΣΧΟΛΕΙΟ ΛΑΜΙΑΣ</t>
  </si>
  <si>
    <t>12dimlam@sch.gr</t>
  </si>
  <si>
    <t>Λαμία</t>
  </si>
  <si>
    <t>Αμπλιανίτη 20-22</t>
  </si>
  <si>
    <t>1ο ΝΗΠΙΑΓΩΓΕΙΟ ΣΤΥΛΙΔΑΣ</t>
  </si>
  <si>
    <t>mail@1nip-stylid.fth.sch.gr</t>
  </si>
  <si>
    <t>ΣΤΥΛΙΔΑΣ</t>
  </si>
  <si>
    <t>ΔΗΜΟΤΙΚΟ ΣΧΟΛΕΙΟ ΚΑΤΩ ΤΙΘΟΡΕΑΣ</t>
  </si>
  <si>
    <t>mail@dim-kat-tiroth.fth.sch.gr</t>
  </si>
  <si>
    <t>ΚΑΤΩ ΤΙΘΟΡΕΑ</t>
  </si>
  <si>
    <t>25ο ΝΗΠΙΑΓΩΓΕΙΟ ΛΑΜΙΑΣ - ΑΝΘΗΛΗ</t>
  </si>
  <si>
    <t>mail@25nip-lamias.fth.sch.gr</t>
  </si>
  <si>
    <t>ΛΑΜΙΑΣ ΑΝΘΗΛΗΣ</t>
  </si>
  <si>
    <t>ΑΝΘΗΛΗ ΛΑΜΙΑΣ</t>
  </si>
  <si>
    <t>ΔΗΜΟΤΙΚΟ ΣΧΟΛΕΙΟ ΜΩΛΟΥ</t>
  </si>
  <si>
    <t>mail@dim-molou.fth.sch.gr</t>
  </si>
  <si>
    <t>ΜΩΛΟΣ</t>
  </si>
  <si>
    <t>ΘΕΡΜΟΠΥΛΩΝ  32</t>
  </si>
  <si>
    <t>ΔΗΜΟΤΙΚΟ ΣΧΟΛΕΙΟ ΝΕΟΥ ΜΟΝΑΣΤΗΡΙΟΥ</t>
  </si>
  <si>
    <t>mail@dim-n-monast.fth.sch.gr</t>
  </si>
  <si>
    <t>ΝΕΟ  ΜΟΝΑΣΤΗΡΙ</t>
  </si>
  <si>
    <t>ΝΕΟ ΜΟΝΑΣΤΗΡΙ</t>
  </si>
  <si>
    <t>11ο ΔΗΜΟΤΙΚΟ ΣΧΟΛΕΙΟ ΛΑΜΙΑΣ</t>
  </si>
  <si>
    <t>mail@11dim-lamias.fth.sch.gr</t>
  </si>
  <si>
    <t>ΛΑΜΙΑ                 ΟΔΥΣΣΕΑ ΕΛΥΤΗ 2</t>
  </si>
  <si>
    <t>ΝΗΠΙΑΓΩΓΕΙΟ ΔΟΜΟΚΟΥ</t>
  </si>
  <si>
    <t>mail@nip-domok.fth.sch.gr</t>
  </si>
  <si>
    <t>1ο ΔΗΜΟΤΙΚΟ ΣΧΟΛΕΙΟ ΑΤΑΛΑΝΤΗΣ</t>
  </si>
  <si>
    <t>mail@1dim-atalant.fth.sch.gr</t>
  </si>
  <si>
    <t>ΑΤΑΛΑΝΤΗ</t>
  </si>
  <si>
    <t>ΑΤΑΛΑΝΤΗ ΓΕΡ.ΒΑΣΙΛΕΙΑΔΗ 1</t>
  </si>
  <si>
    <t>ΝΗΠΙΑΓΩΓΕΙΟ ΜΑΚΡΑΚΩΜΗΣ</t>
  </si>
  <si>
    <t>mail@nip-makrak.fth.sch.gr</t>
  </si>
  <si>
    <t>ΜΑΚΡΑΚΩΜΗΣ</t>
  </si>
  <si>
    <t>ΜΑΚΡΑΚΩΜΗ ΦΘΙΩΤΙΔΑΣ</t>
  </si>
  <si>
    <t>14ο ΝΗΠΙΑΓΩΓΕΙΟ ΛΑΜΙΑΣ</t>
  </si>
  <si>
    <t>mail@14nip-lamias.fth.sch.gr</t>
  </si>
  <si>
    <t>ΛΑΜΙΑ  ΚΥΠΡΟΥ 61</t>
  </si>
  <si>
    <t>10ο ΔΗΜΟΤΙΚΟ ΣΧΟΛΕΙΟ ΛΑΜΙΑΣ</t>
  </si>
  <si>
    <t>mail@10dim-lamias.fth.sch.gr</t>
  </si>
  <si>
    <t>ΟΘΩΝΟΣ 40</t>
  </si>
  <si>
    <t>2ο ΔΗΜΟΤΙΚΟ ΣΧΟΛΕΙΟ ΣΤΥΛΙΔΑΣ</t>
  </si>
  <si>
    <t>mail@2dim-stylid.fth.sch.gr</t>
  </si>
  <si>
    <t>ΣΤΥΛΙΔΑ  ΜΕΓΑΛΟΥ ΑΛΕΞΑΝΔΡΟΥ  12</t>
  </si>
  <si>
    <t>6ο ΝΗΠΙΑΓΩΓΕΙΟ ΛΑΜΙΑΣ</t>
  </si>
  <si>
    <t>mail@6nip-lamias.fth.sch.gr</t>
  </si>
  <si>
    <t>ΚΑΒΑΦΗ ΚΑΙ ΤΣΙΤΣΑΝΗ</t>
  </si>
  <si>
    <t>ΝΗΠΙΑΓΩΓΕΙΟ ΚΑΤΩ ΤΙΘΟΡΕΑΣ</t>
  </si>
  <si>
    <t>mail@nip-kat-tiroth.fth.sch.gr</t>
  </si>
  <si>
    <t>κάτω Τιθορέα</t>
  </si>
  <si>
    <t>1ο ΔΗΜΟΤΙΚΟ ΣΧΟΛΕΙΟ ΕΧΙΝΑΙΩΝ</t>
  </si>
  <si>
    <t>mail@1dim-echin.fth.sch.gr</t>
  </si>
  <si>
    <t>ΡΑΧΕΣ</t>
  </si>
  <si>
    <t>ΡΑΧΕΣ ΦΘΙΩΤΙΔΑΣ</t>
  </si>
  <si>
    <t>5ο ΝΗΠΙΑΓΩΓΕΙΟ ΛΑΜΙΑΣ</t>
  </si>
  <si>
    <t>mail@5nip-lamias.fth.sch.gr</t>
  </si>
  <si>
    <t>ΠΙΣΤΟΛΗ 10</t>
  </si>
  <si>
    <t>2ο ΝΗΠΙΑΓΩΓΕΙΟ ΣΤΥΛΙΔΑΣ</t>
  </si>
  <si>
    <t>mail@2nip-stylid.fth.sch.gr</t>
  </si>
  <si>
    <t>ΚΡΥΣΤΑΛΛΗ 24</t>
  </si>
  <si>
    <t>20ο ΝΗΠΙΑΓΩΓΕΙΟ ΛΑΜΙΑΣ</t>
  </si>
  <si>
    <t>mail@20nip-lamias.fth.sch.gr</t>
  </si>
  <si>
    <t>ΚΙΣΣΑΒΟΥ ΚΑΙ ΔΗΜΗΤΡΙΑΔΟΣ</t>
  </si>
  <si>
    <t>1ο ΝΗΠΙΑΓΩΓΕΙΟ ΑΤΑΛΑΝΤΗΣ - ΞΕΝΙΑ</t>
  </si>
  <si>
    <t>mail@1nip-atalant.fth.sch.gr</t>
  </si>
  <si>
    <t>ΑΤΑΛΑΝΤΗΣ</t>
  </si>
  <si>
    <t>ΟΔΥΣΣΕΩΣ ΑΝΔΡΟΥΤΣΟΥ 31</t>
  </si>
  <si>
    <t>14ο ΔΗΜΟΤΙΚΟ ΣΧΟΛΕΙΟ ΛΑΜΙΑΣ</t>
  </si>
  <si>
    <t>mail@14dim-lamias.fth.sch.gr</t>
  </si>
  <si>
    <t>ΑΜΦΙΚΤΥΟΝΩΝ 42</t>
  </si>
  <si>
    <t>20ο ΔΗΜΟΤΙΚΟ ΣΧΟΛΕΙΟ ΛΑΜΙΑΣ</t>
  </si>
  <si>
    <t>mail@20dim-lamias.fth.sch.gr</t>
  </si>
  <si>
    <t>ΔΗΜΟΤΙΚΟ ΣΧΟΛΕΙΟ ΑΓΙΟΥ ΚΩΝΣΤΑΝΤΙΝΟΥ</t>
  </si>
  <si>
    <t>mail@dim-ag-konst.fth.sch.gr</t>
  </si>
  <si>
    <t>ΑΓ. ΚΩΝΣΤΑΝΤΙΝΟΣ  ΑΝΔΡΟΥΤΣΟΥ ΚΑΙ ΕΙΚΟΣΤΗΣ ΟΓΔΟΗΣ Ο</t>
  </si>
  <si>
    <t>26ο ΝΗΠΙΑΓΩΓΕΙΟ ΛΑΜΙΑΣ</t>
  </si>
  <si>
    <t>mail@26nip-lamias.fth.sch.gr</t>
  </si>
  <si>
    <t>ΤΑΝΑΓΡΑΣ &amp; ΟΙΝΟΦΥΤΩΝ</t>
  </si>
  <si>
    <t>12ο ΝΗΠΙΑΓΩΓΕΙΟ ΛΑΜΙΑΣ</t>
  </si>
  <si>
    <t>mail@12nip-lamias.fth.sch.gr</t>
  </si>
  <si>
    <t>ΑΜΠΛΙΑΝΙΤΗ 20</t>
  </si>
  <si>
    <t>8ο ΔΗΜΟΤΙΚΟ ΣΧΟΛΕΙΟ ΛΑΜΙΑΣ</t>
  </si>
  <si>
    <t>mail@8dim-lamias.fth.sch.gr</t>
  </si>
  <si>
    <t>ΛΑΜΙΑ    ΔΑΒΑΚΗ 11</t>
  </si>
  <si>
    <t>16ο ΝΗΠΙΑΓΩΓΕΙΟ ΛΑΜΙΑΣ</t>
  </si>
  <si>
    <t>mail@16nip-lamias.fth.sch.gr</t>
  </si>
  <si>
    <t>ΟΔΥΣΣΕΑ ΕΛΥΤΗ 2  ΛΑΜΙΑ</t>
  </si>
  <si>
    <t>22ο ΔΗΜΟΤΙΚΟ ΣΧΟΛΕΙΟ ΛΑΜΙΑΣ-ΡΟΔΙΤΣΑ</t>
  </si>
  <si>
    <t>mail@dim-rodits.fth.sch.gr</t>
  </si>
  <si>
    <t>ΡΟΔΙΤΣΑ ΛΑΜΙΑΣ</t>
  </si>
  <si>
    <t>ΑΘ. ΔΙΑΚΟΥ 1</t>
  </si>
  <si>
    <t>ΝΗΠΙΑΓΩΓΕΙΟ ΠΕΛΑΣΓΙΑΣ</t>
  </si>
  <si>
    <t>mail@nip-pelasg.fth.sch.gr</t>
  </si>
  <si>
    <t>2ο ΔΗΜΟΤΙΚΟ ΣΧΟΛΕΙΟ ΑΤΑΛΑΝΤΗΣ - Η ΜΑΚΕΔΟΝΙΑ</t>
  </si>
  <si>
    <t>mail@2dim-atalant.fth.sch.gr</t>
  </si>
  <si>
    <t>ΑΤΑΛΑΝΤΗ   ΧΡΗΣΤΟΥ ΛΙΓΔΗ 1</t>
  </si>
  <si>
    <t>2ο ΝΗΠΙΑΓΩΓΕΙΟ ΑΤΑΛΑΝΤΗΣ</t>
  </si>
  <si>
    <t>mail@2nip-atalant.fth.sch.gr</t>
  </si>
  <si>
    <t>ΓΕΡΑΣΙΜΟΥ ΒΑΣΙΛΕΙΑΔΗ 1</t>
  </si>
  <si>
    <t>ΝΗΠΙΑΓΩΓΕΙΟ ΑΓΙΟΥ ΚΩΝΣΤΑΝΤΙΝΟΥ</t>
  </si>
  <si>
    <t>mail@nip-ag-konst.fth.sch.gr</t>
  </si>
  <si>
    <t>ΑΓΙΟΥ ΚΩΝΣΤΑΝΤΙΝΟΥ ΛΟΚΡΙΔΑΣ</t>
  </si>
  <si>
    <t>ΑΝΔΡΟΥΤΣΟΥ</t>
  </si>
  <si>
    <t>17ο ΔΗΜΟΤΙΚΟ ΣΧΟΛΕΙΟ ΛΑΜΙΑΣ</t>
  </si>
  <si>
    <t>mail@17dim-lamias.fth.sch.gr</t>
  </si>
  <si>
    <t>ΔΗΜΟΤΙΚΟ ΣΧΟΛΕΙΟ ΛΙΒΑΝΑΤΩΝ</t>
  </si>
  <si>
    <t>mail@dim-livan.fth.sch.gr</t>
  </si>
  <si>
    <t>ΛΙΒΑΝΑΤΕΣ</t>
  </si>
  <si>
    <t>ΛΙΒΑΝΑΤΕΣ ΦΘΙΩΤΙΔΑΣ</t>
  </si>
  <si>
    <t>7ο ΝΗΠΙΑΓΩΓΕΙΟ ΛΑΜΙΑΣ</t>
  </si>
  <si>
    <t>mail@7nip-lamias.fth.sch.gr</t>
  </si>
  <si>
    <t>ΛΑΜΙΑ  ΦΡΑΝΤΖΗ 42</t>
  </si>
  <si>
    <t>1ο ΝΗΠΙΑΓΩΓΕΙΟ ΚΑΜΕΝΩΝ ΒΟΥΡΛΩΝ</t>
  </si>
  <si>
    <t>mail@nip-kam-vourl.fth.sch.gr</t>
  </si>
  <si>
    <t>25ης Μαρτίου 7</t>
  </si>
  <si>
    <t>ΝΗΠΙΑΓΩΓΕΙΟ ΛΙΒΑΝΑΤΩΝ</t>
  </si>
  <si>
    <t>mail@nip-livan.fth.sch.gr</t>
  </si>
  <si>
    <t>ΛΙΒΑΝΑΤΩΝ</t>
  </si>
  <si>
    <t>1ο ΝΗΠΙΑΓΩΓΕΙΟ ΜΑΛΕΣΙΝΑΣ</t>
  </si>
  <si>
    <t>mail@nip-males.fth.sch.gr</t>
  </si>
  <si>
    <t>ΜΑΛΕΣΙΝΑΣ</t>
  </si>
  <si>
    <t>ΜΑΛΕΣΙΝΑ . ΜΠΙΚΑ 1 Α</t>
  </si>
  <si>
    <t>16ο ΠΕΙΡΑΜΑΤΙΚΟ ΔΗΜΟΤΙΚΟ ΣΧΟΛΕΙΟ ΛΑΜΙΑΣ</t>
  </si>
  <si>
    <t>mail@16dim-lamias.fth.sch.gr</t>
  </si>
  <si>
    <t>ΠΑΠΑΣΙΟΠΟΥΛΟΥ 2</t>
  </si>
  <si>
    <t>ΔΗΜΟΤΙΚΟ ΣΧΟΛΕΙΟ ΕΛΑΤΕΙΑΣ</t>
  </si>
  <si>
    <t>mail@dim-elateias.fth.sch.gr</t>
  </si>
  <si>
    <t>ΕΛΑΤΕΙΑ</t>
  </si>
  <si>
    <t>ΕΛΑΤΕΙΑ ΦΘΙΩΤΙΔΑΣ</t>
  </si>
  <si>
    <t>1ο ΔΗΜΟΤΙΚΟ ΣΧΟΛΕΙΟ ΓΟΡΓΟΠΟΤΑΜΟΥ</t>
  </si>
  <si>
    <t>mail@1dim-gorgop.fth.sch.gr</t>
  </si>
  <si>
    <t>Μοσχοχώρι</t>
  </si>
  <si>
    <t>ΜΟΣΧΟΧΩΡΙ ΦΘΙΩΤΙΔΑΣ</t>
  </si>
  <si>
    <t>18ο ΔΗΜΟΤΙΚΟ ΣΧΟΛΕΙΟ ΛΑΜΙΑΣ</t>
  </si>
  <si>
    <t>mail@18dim-lamias.fth.sch.gr</t>
  </si>
  <si>
    <t>ΤΕΡΜΑ ΚΑΡΠΑΘΟΥ-ΓΑΛΑΝΕΪΚΑ</t>
  </si>
  <si>
    <t>28ο ΝΗΠΙΑΓΩΓΕΙΟ ΛΑΜΙΑΣ</t>
  </si>
  <si>
    <t>mail@28nip-lamias.fth.sch.gr</t>
  </si>
  <si>
    <t>ΨΗΛΟΡΕΙΤΗ ΚΑΙ ΕΛΙΚΩΝΟΣ</t>
  </si>
  <si>
    <t>ΔΗΜΟΤΙΚΟ ΣΧΟΛΕΙΟ ΜΑΚΡΑΚΩΜΗΣ</t>
  </si>
  <si>
    <t>mail@dim-makrak.fth.sch.gr</t>
  </si>
  <si>
    <t>ΜΑΚΡΑΚΩΜΗ</t>
  </si>
  <si>
    <t>19ο ΔΗΜΟΤΙΚΟ ΣΧΟΛΕΙΟ ΛΑΜΙΑΣ</t>
  </si>
  <si>
    <t>mail@19dim-lamias.fth.sch.gr</t>
  </si>
  <si>
    <t>ΜΑΡΑΘΟΥ 1</t>
  </si>
  <si>
    <t>25ο ΔΗΜΟΤΙΚΟ ΣΧΟΛΕΙΟ ΛΑΜΙΑΣ ΑΝΘΗΛΗΣ</t>
  </si>
  <si>
    <t>mail@25dim-lamias.fth.sch.gr</t>
  </si>
  <si>
    <t>ΑΝΘΗΛΗ</t>
  </si>
  <si>
    <t>1ο ΔΗΜΟΤΙΚΟ ΣΧΟΛΕΙΟ ΣΠΕΡΧΕΙΑΔΑΣ</t>
  </si>
  <si>
    <t>mail@1dim-sperch.fth.sch.gr</t>
  </si>
  <si>
    <t>ΣΠΕΡΧΕΙΑΔΑ</t>
  </si>
  <si>
    <t>ΛΕΩΦΟΡΟΣ ΚΡΙΚΟΥ 1</t>
  </si>
  <si>
    <t>6ο ΔΗΜΟΤΙΚΟ ΣΧΟΛΕΙΟ ΛΑΜΙΑΣ</t>
  </si>
  <si>
    <t>mail@6dim-lamias.fth.sch.gr</t>
  </si>
  <si>
    <t>ΛΑΜΙΑ  ΚΑΒΑΦΗ 30</t>
  </si>
  <si>
    <t>2ο ΔΗΜΟΤΙΚΟ ΣΧΟΛΕΙΟ ΣΠΕΡΧΕΙΑΔΑΣ - ΠΑΠΠΕΙΟΝ</t>
  </si>
  <si>
    <t>mail@2dim-sperch.fth.sch.gr</t>
  </si>
  <si>
    <t>Β. ΒΟΥΛΓΑΡΟΚΤΟΝΟΥ 3</t>
  </si>
  <si>
    <t>Π.Ε. ΦΩΚΙΔΑΣ</t>
  </si>
  <si>
    <t>3ο  ΝΗΠΙΑΓΩΓΕΙΟ ΑΜΦΙΣΣΑΣ</t>
  </si>
  <si>
    <t>mail@3nip-amfiss.fok.sch.gr</t>
  </si>
  <si>
    <t>ΔΕΛΦΩΝ</t>
  </si>
  <si>
    <t>ΑΜΦΙΣΣΑ</t>
  </si>
  <si>
    <t>Μ. ΚΑΘΑΡΙΟΥ 30</t>
  </si>
  <si>
    <t>1ο  ΝΗΠΙΑΓΩΓΕΙΟ ΑΜΦΙΣΣΑ</t>
  </si>
  <si>
    <t>mail@1nip-amfiss.fok.sch.gr</t>
  </si>
  <si>
    <t>ΑΘΑΝΑΣΙΟΥ  ΓΚΕΛΕΣΤΑΘΗ 1</t>
  </si>
  <si>
    <t>1ο  ΔΗΜΟΤΙΚΟ ΣΧΟΛΕΙΟ ΑΜΦΙΣΣΑΣ "ΜΑΡΚΙΔΕΙΟ"</t>
  </si>
  <si>
    <t>mail@1dim-amfiss.fok.sch.gr</t>
  </si>
  <si>
    <t>ΜΑΡΚΙΔΟΥ 6</t>
  </si>
  <si>
    <t>ΔΗΜΟΤΙΚΟ ΣΧΟΛΕΙΟ ΓΑΛΑΞΙΔΙΟΥ</t>
  </si>
  <si>
    <t>mail@dim-galax.fok.sch.gr</t>
  </si>
  <si>
    <t>ΓΑΛΑΞΙΔΙ</t>
  </si>
  <si>
    <t>ΝΙΚΟΛΑΟΥ ΓΟΥΡΓΟΥΡΗ 22</t>
  </si>
  <si>
    <t>ΔΗΜΟΤΙΚΟ ΣΧΟΛΕΙΟ ΔΕΣΦΙΝΑΣ</t>
  </si>
  <si>
    <t>mail@dim-desfin.fok.sch.gr</t>
  </si>
  <si>
    <t>Δεσφίνα,</t>
  </si>
  <si>
    <t>ΕΘΝΙΚΗΣ ΑΝΤΙΣΤΑΣΕΩΣ 10</t>
  </si>
  <si>
    <t>ΔΗΜΟΤΙΚΟ ΣΧΟΛΕΙΟ ΓΡΑΒΙΑΣ</t>
  </si>
  <si>
    <t>mail@dim-gravias.fok.sch.gr</t>
  </si>
  <si>
    <t>ΓΡΑΒΙΑ</t>
  </si>
  <si>
    <t>ΔΗΜΟΤΙΚΟ ΣΧΟΛΕΙΟ ΕΡΑΤΕΙΝΗΣ</t>
  </si>
  <si>
    <t>mail@dim-eratein.fok.sch.gr</t>
  </si>
  <si>
    <t>ΔΩΡΙΔΟΣ</t>
  </si>
  <si>
    <t>ΕΡΑΤΕΙΝΗ</t>
  </si>
  <si>
    <t>4ο ΔΗΜΟΤΙΚΟ ΣΧΟΛΕΙΟ ΑΜΦΙΣΣΑΣ</t>
  </si>
  <si>
    <t>mail@4dim-amfiss.fok.sch.gr</t>
  </si>
  <si>
    <t>ΦΡΟΥΡΙΟΥ 81</t>
  </si>
  <si>
    <t>3ο ΔΗΜΟΤΙΚΟ ΣΧΟΛΕΙΟ ΙΤΕΑΣ</t>
  </si>
  <si>
    <t>mail@3dim-iteas.fok.sch.gr</t>
  </si>
  <si>
    <t>ΠΑΝΑΓΙΩΤΗ ΚΑΙ ΑΦΡΟΔΙΤΗΣ ΚΑΨΑΛΗ 20</t>
  </si>
  <si>
    <t>3ο ΝΗΠΙΑΓΩΓΕΙΟ ΙΤΕΑΣ</t>
  </si>
  <si>
    <t>mail@3nip-iteas.fok.sch.gr</t>
  </si>
  <si>
    <t>ΙΤΕΑΣ</t>
  </si>
  <si>
    <t>ΗΛΙΑ ΤΡΙΓΚΑ 9</t>
  </si>
  <si>
    <t>3ο  ΔΗΜΟΤΙΚΟ ΣΧΟΛΕΙΟ ΑΜΦΙΣΣΑΣ</t>
  </si>
  <si>
    <t>mail@3dim-amfiss.fok.sch.gr</t>
  </si>
  <si>
    <t>ΡΗΓΑ ΚΟΝΤΟΡΗΓΑ 11</t>
  </si>
  <si>
    <t>1ο ΔΗΜΟΤΙΚΟ ΣΧΟΛΕΙΟ ΙΤΕΑΣ</t>
  </si>
  <si>
    <t>mail@1dim-iteas.fok.sch.gr</t>
  </si>
  <si>
    <t>ΑΓΟΥΡΟΠΟΥΛΟΥ 10</t>
  </si>
  <si>
    <t>ΝΗΠΙΑΓΩΓΕΙΟ ΕΡΑΤΕΙΝΗΣ</t>
  </si>
  <si>
    <t>mail@nip-eratein.fok.sch.gr</t>
  </si>
  <si>
    <t>ΕΡΑΤΕΙΝΗΣ</t>
  </si>
  <si>
    <t>ΕΡΑΤΕΙΝΗ ΔΩΡΙΔΑΣ</t>
  </si>
  <si>
    <t>ΔΗΜΟΤΙΚΟ ΣΧΟΛΕΙΟ ΕΥΠΑΛΙΟΥ</t>
  </si>
  <si>
    <t>mail@dim-efpal.fok.sch.gr</t>
  </si>
  <si>
    <t>ΕΥΠΑΛΙΟΥ</t>
  </si>
  <si>
    <t>ΕΥΠΑΛΙΟ ΔΩΡΙΔΑΣ</t>
  </si>
  <si>
    <t>ΝΗΠΙΑΓΩΓΕΙΟ ΓΑΛΑΞΙΔΙΟΥ</t>
  </si>
  <si>
    <t>mail@nip-galax.fok.sch.gr</t>
  </si>
  <si>
    <t>Ν.ΓΟΥΡΓΟΥΡΗ 22</t>
  </si>
  <si>
    <t>ΔΗΜΟΤΙΚΟ ΣΧΟΛΕΙΟ ΛΙΔΟΡΙΚΙΟΥ</t>
  </si>
  <si>
    <t>mail@dim-lidor.fok.sch.gr</t>
  </si>
  <si>
    <t>ΛΙΔΟΡΙΚΙ</t>
  </si>
  <si>
    <t>2ο ΝΗΠΙΑΓΩΓΕΙΟ ΑΜΦΙΣΣΑ</t>
  </si>
  <si>
    <t>mail@2nip-amfiss.fok.sch.gr</t>
  </si>
  <si>
    <t>ΙΠΠΟΚΡΑΤΟΥΣ 4</t>
  </si>
  <si>
    <t>2ο  ΔΗΜΟΤΙΚΟ ΣΧΟΛΕΙΟ ΑΜΦΙΣΣΑΣ</t>
  </si>
  <si>
    <t>mail@2dim-amfiss.fok.sch.gr</t>
  </si>
  <si>
    <t>ΠΑΝΟΥΡΓΙΑ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</si>
</sst>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wrapText="1"/>
    </xf>
    <xf numFmtId="0" fontId="0" fillId="0" borderId="0" xfId="0" applyAlignment="1">
      <alignment horizontal="righ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97"/>
  <sheetViews>
    <sheetView tabSelected="1" workbookViewId="0">
      <selection sqref="A1:XFD1"/>
    </sheetView>
  </sheetViews>
  <sheetFormatPr defaultRowHeight="15" x14ac:dyDescent="0.25"/>
  <cols>
    <col min="1" max="1" width="26.140625" style="6" customWidth="1"/>
    <col min="2" max="2" width="20.42578125" customWidth="1"/>
    <col min="3" max="3" width="13.85546875" customWidth="1"/>
    <col min="4" max="4" width="15" customWidth="1"/>
    <col min="5" max="5" width="13.85546875" style="7" customWidth="1"/>
    <col min="6" max="6" width="54.140625" style="6" customWidth="1"/>
    <col min="7" max="7" width="15.5703125" style="7" customWidth="1"/>
    <col min="8" max="8" width="36" bestFit="1" customWidth="1"/>
    <col min="9" max="9" width="43.5703125" bestFit="1" customWidth="1"/>
    <col min="10" max="10" width="19.85546875" customWidth="1"/>
    <col min="11" max="11" width="23.7109375" customWidth="1"/>
    <col min="12" max="12" width="10.28515625" style="7" customWidth="1"/>
  </cols>
  <sheetData>
    <row r="1" spans="1:12" s="2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30" x14ac:dyDescent="0.25">
      <c r="A2" s="3" t="s">
        <v>12</v>
      </c>
      <c r="B2" s="4" t="s">
        <v>13</v>
      </c>
      <c r="C2" s="4" t="s">
        <v>14</v>
      </c>
      <c r="D2" s="4" t="s">
        <v>15</v>
      </c>
      <c r="E2" s="5" t="str">
        <f>"9090087"</f>
        <v>9090087</v>
      </c>
      <c r="F2" s="3" t="s">
        <v>16</v>
      </c>
      <c r="G2" s="5">
        <v>2521036255</v>
      </c>
      <c r="H2" s="4" t="s">
        <v>17</v>
      </c>
      <c r="I2" s="4" t="s">
        <v>18</v>
      </c>
      <c r="J2" s="4" t="s">
        <v>19</v>
      </c>
      <c r="K2" s="4" t="s">
        <v>20</v>
      </c>
      <c r="L2" s="5">
        <v>66100</v>
      </c>
    </row>
    <row r="3" spans="1:12" ht="30" x14ac:dyDescent="0.25">
      <c r="A3" s="3" t="s">
        <v>12</v>
      </c>
      <c r="B3" s="4" t="s">
        <v>13</v>
      </c>
      <c r="C3" s="4" t="s">
        <v>14</v>
      </c>
      <c r="D3" s="4" t="s">
        <v>15</v>
      </c>
      <c r="E3" s="5" t="str">
        <f>"9090009"</f>
        <v>9090009</v>
      </c>
      <c r="F3" s="3" t="s">
        <v>21</v>
      </c>
      <c r="G3" s="5">
        <v>2521022145</v>
      </c>
      <c r="H3" s="4" t="s">
        <v>22</v>
      </c>
      <c r="I3" s="4" t="s">
        <v>18</v>
      </c>
      <c r="J3" s="4" t="s">
        <v>23</v>
      </c>
      <c r="K3" s="4" t="s">
        <v>24</v>
      </c>
      <c r="L3" s="5">
        <v>66100</v>
      </c>
    </row>
    <row r="4" spans="1:12" ht="30" x14ac:dyDescent="0.25">
      <c r="A4" s="3" t="s">
        <v>12</v>
      </c>
      <c r="B4" s="4" t="s">
        <v>13</v>
      </c>
      <c r="C4" s="4" t="s">
        <v>25</v>
      </c>
      <c r="D4" s="4" t="s">
        <v>26</v>
      </c>
      <c r="E4" s="5" t="str">
        <f>"9090224"</f>
        <v>9090224</v>
      </c>
      <c r="F4" s="3" t="s">
        <v>27</v>
      </c>
      <c r="G4" s="5">
        <v>2521034458</v>
      </c>
      <c r="H4" s="4" t="s">
        <v>28</v>
      </c>
      <c r="I4" s="4" t="s">
        <v>18</v>
      </c>
      <c r="J4" s="4" t="s">
        <v>18</v>
      </c>
      <c r="K4" s="4" t="s">
        <v>29</v>
      </c>
      <c r="L4" s="5">
        <v>66100</v>
      </c>
    </row>
    <row r="5" spans="1:12" ht="30" x14ac:dyDescent="0.25">
      <c r="A5" s="3" t="s">
        <v>12</v>
      </c>
      <c r="B5" s="4" t="s">
        <v>13</v>
      </c>
      <c r="C5" s="4" t="s">
        <v>25</v>
      </c>
      <c r="D5" s="4" t="s">
        <v>26</v>
      </c>
      <c r="E5" s="5" t="str">
        <f>"9090085"</f>
        <v>9090085</v>
      </c>
      <c r="F5" s="3" t="s">
        <v>30</v>
      </c>
      <c r="G5" s="5">
        <v>2521033696</v>
      </c>
      <c r="H5" s="4" t="s">
        <v>31</v>
      </c>
      <c r="I5" s="4" t="s">
        <v>18</v>
      </c>
      <c r="J5" s="4" t="s">
        <v>18</v>
      </c>
      <c r="K5" s="4" t="s">
        <v>32</v>
      </c>
      <c r="L5" s="5">
        <v>66100</v>
      </c>
    </row>
    <row r="6" spans="1:12" ht="30" x14ac:dyDescent="0.25">
      <c r="A6" s="3" t="s">
        <v>12</v>
      </c>
      <c r="B6" s="4" t="s">
        <v>13</v>
      </c>
      <c r="C6" s="4" t="s">
        <v>25</v>
      </c>
      <c r="D6" s="4" t="s">
        <v>26</v>
      </c>
      <c r="E6" s="5" t="str">
        <f>"9090014"</f>
        <v>9090014</v>
      </c>
      <c r="F6" s="3" t="s">
        <v>33</v>
      </c>
      <c r="G6" s="5">
        <v>2521024809</v>
      </c>
      <c r="H6" s="4" t="s">
        <v>34</v>
      </c>
      <c r="I6" s="4" t="s">
        <v>18</v>
      </c>
      <c r="J6" s="4" t="s">
        <v>18</v>
      </c>
      <c r="K6" s="4" t="s">
        <v>35</v>
      </c>
      <c r="L6" s="5">
        <v>66100</v>
      </c>
    </row>
    <row r="7" spans="1:12" ht="30" x14ac:dyDescent="0.25">
      <c r="A7" s="3" t="s">
        <v>12</v>
      </c>
      <c r="B7" s="4" t="s">
        <v>13</v>
      </c>
      <c r="C7" s="4" t="s">
        <v>25</v>
      </c>
      <c r="D7" s="4" t="s">
        <v>26</v>
      </c>
      <c r="E7" s="5" t="str">
        <f>"9090218"</f>
        <v>9090218</v>
      </c>
      <c r="F7" s="3" t="s">
        <v>36</v>
      </c>
      <c r="G7" s="5">
        <v>2521024158</v>
      </c>
      <c r="H7" s="4" t="s">
        <v>37</v>
      </c>
      <c r="I7" s="4" t="s">
        <v>18</v>
      </c>
      <c r="J7" s="4" t="s">
        <v>18</v>
      </c>
      <c r="K7" s="4" t="s">
        <v>38</v>
      </c>
      <c r="L7" s="5">
        <v>66100</v>
      </c>
    </row>
    <row r="8" spans="1:12" ht="30" x14ac:dyDescent="0.25">
      <c r="A8" s="3" t="s">
        <v>12</v>
      </c>
      <c r="B8" s="4" t="s">
        <v>13</v>
      </c>
      <c r="C8" s="4" t="s">
        <v>25</v>
      </c>
      <c r="D8" s="4" t="s">
        <v>26</v>
      </c>
      <c r="E8" s="5" t="str">
        <f>"9090226"</f>
        <v>9090226</v>
      </c>
      <c r="F8" s="3" t="s">
        <v>39</v>
      </c>
      <c r="G8" s="5">
        <v>2521031729</v>
      </c>
      <c r="H8" s="4" t="s">
        <v>40</v>
      </c>
      <c r="I8" s="4" t="s">
        <v>18</v>
      </c>
      <c r="J8" s="4" t="s">
        <v>18</v>
      </c>
      <c r="K8" s="4" t="s">
        <v>41</v>
      </c>
      <c r="L8" s="5">
        <v>66100</v>
      </c>
    </row>
    <row r="9" spans="1:12" ht="30" x14ac:dyDescent="0.25">
      <c r="A9" s="3" t="s">
        <v>12</v>
      </c>
      <c r="B9" s="4" t="s">
        <v>13</v>
      </c>
      <c r="C9" s="4" t="s">
        <v>14</v>
      </c>
      <c r="D9" s="4" t="s">
        <v>15</v>
      </c>
      <c r="E9" s="5" t="str">
        <f>"9090146"</f>
        <v>9090146</v>
      </c>
      <c r="F9" s="3" t="s">
        <v>42</v>
      </c>
      <c r="G9" s="5">
        <v>2523023705</v>
      </c>
      <c r="H9" s="4" t="s">
        <v>43</v>
      </c>
      <c r="I9" s="4" t="s">
        <v>44</v>
      </c>
      <c r="J9" s="4" t="s">
        <v>45</v>
      </c>
      <c r="K9" s="4" t="s">
        <v>46</v>
      </c>
      <c r="L9" s="5">
        <v>66033</v>
      </c>
    </row>
    <row r="10" spans="1:12" ht="30" x14ac:dyDescent="0.25">
      <c r="A10" s="3" t="s">
        <v>12</v>
      </c>
      <c r="B10" s="4" t="s">
        <v>13</v>
      </c>
      <c r="C10" s="4" t="s">
        <v>25</v>
      </c>
      <c r="D10" s="4" t="s">
        <v>26</v>
      </c>
      <c r="E10" s="5" t="str">
        <f>"9090139"</f>
        <v>9090139</v>
      </c>
      <c r="F10" s="3" t="s">
        <v>47</v>
      </c>
      <c r="G10" s="5">
        <v>2522022587</v>
      </c>
      <c r="H10" s="4" t="s">
        <v>48</v>
      </c>
      <c r="I10" s="4" t="s">
        <v>49</v>
      </c>
      <c r="J10" s="4" t="s">
        <v>49</v>
      </c>
      <c r="K10" s="4" t="s">
        <v>50</v>
      </c>
      <c r="L10" s="5">
        <v>66200</v>
      </c>
    </row>
    <row r="11" spans="1:12" ht="30" x14ac:dyDescent="0.25">
      <c r="A11" s="3" t="s">
        <v>12</v>
      </c>
      <c r="B11" s="4" t="s">
        <v>13</v>
      </c>
      <c r="C11" s="4" t="s">
        <v>25</v>
      </c>
      <c r="D11" s="4" t="s">
        <v>26</v>
      </c>
      <c r="E11" s="5" t="str">
        <f>"9090001"</f>
        <v>9090001</v>
      </c>
      <c r="F11" s="3" t="s">
        <v>51</v>
      </c>
      <c r="G11" s="5">
        <v>2521067460</v>
      </c>
      <c r="H11" s="4" t="s">
        <v>52</v>
      </c>
      <c r="I11" s="4" t="s">
        <v>53</v>
      </c>
      <c r="J11" s="4" t="s">
        <v>53</v>
      </c>
      <c r="K11" s="4" t="s">
        <v>54</v>
      </c>
      <c r="L11" s="5">
        <v>66300</v>
      </c>
    </row>
    <row r="12" spans="1:12" ht="30" x14ac:dyDescent="0.25">
      <c r="A12" s="3" t="s">
        <v>12</v>
      </c>
      <c r="B12" s="4" t="s">
        <v>13</v>
      </c>
      <c r="C12" s="4" t="s">
        <v>14</v>
      </c>
      <c r="D12" s="4" t="s">
        <v>15</v>
      </c>
      <c r="E12" s="5" t="str">
        <f>"9090164"</f>
        <v>9090164</v>
      </c>
      <c r="F12" s="3" t="s">
        <v>55</v>
      </c>
      <c r="G12" s="5">
        <v>2523022228</v>
      </c>
      <c r="H12" s="4" t="s">
        <v>56</v>
      </c>
      <c r="I12" s="4" t="s">
        <v>44</v>
      </c>
      <c r="J12" s="4" t="s">
        <v>57</v>
      </c>
      <c r="K12" s="4" t="s">
        <v>57</v>
      </c>
      <c r="L12" s="5">
        <v>66033</v>
      </c>
    </row>
    <row r="13" spans="1:12" ht="30" x14ac:dyDescent="0.25">
      <c r="A13" s="3" t="s">
        <v>12</v>
      </c>
      <c r="B13" s="4" t="s">
        <v>13</v>
      </c>
      <c r="C13" s="4" t="s">
        <v>14</v>
      </c>
      <c r="D13" s="4" t="s">
        <v>15</v>
      </c>
      <c r="E13" s="5" t="str">
        <f>"9090209"</f>
        <v>9090209</v>
      </c>
      <c r="F13" s="3" t="s">
        <v>58</v>
      </c>
      <c r="G13" s="5">
        <v>2521024421</v>
      </c>
      <c r="H13" s="4" t="s">
        <v>59</v>
      </c>
      <c r="I13" s="4" t="s">
        <v>18</v>
      </c>
      <c r="J13" s="4" t="s">
        <v>23</v>
      </c>
      <c r="K13" s="4" t="s">
        <v>60</v>
      </c>
      <c r="L13" s="5">
        <v>66132</v>
      </c>
    </row>
    <row r="14" spans="1:12" ht="30" x14ac:dyDescent="0.25">
      <c r="A14" s="3" t="s">
        <v>12</v>
      </c>
      <c r="B14" s="4" t="s">
        <v>13</v>
      </c>
      <c r="C14" s="4" t="s">
        <v>14</v>
      </c>
      <c r="D14" s="4" t="s">
        <v>15</v>
      </c>
      <c r="E14" s="5" t="str">
        <f>"9090010"</f>
        <v>9090010</v>
      </c>
      <c r="F14" s="3" t="s">
        <v>61</v>
      </c>
      <c r="G14" s="5">
        <v>2521024532</v>
      </c>
      <c r="H14" s="4" t="s">
        <v>62</v>
      </c>
      <c r="I14" s="4" t="s">
        <v>18</v>
      </c>
      <c r="J14" s="4" t="s">
        <v>63</v>
      </c>
      <c r="K14" s="4" t="s">
        <v>64</v>
      </c>
      <c r="L14" s="5">
        <v>66132</v>
      </c>
    </row>
    <row r="15" spans="1:12" ht="30" x14ac:dyDescent="0.25">
      <c r="A15" s="3" t="s">
        <v>12</v>
      </c>
      <c r="B15" s="4" t="s">
        <v>13</v>
      </c>
      <c r="C15" s="4" t="s">
        <v>14</v>
      </c>
      <c r="D15" s="4" t="s">
        <v>15</v>
      </c>
      <c r="E15" s="5" t="str">
        <f>"9090081"</f>
        <v>9090081</v>
      </c>
      <c r="F15" s="3" t="s">
        <v>65</v>
      </c>
      <c r="G15" s="5">
        <v>2521035757</v>
      </c>
      <c r="H15" s="4" t="s">
        <v>66</v>
      </c>
      <c r="I15" s="4" t="s">
        <v>18</v>
      </c>
      <c r="J15" s="4" t="s">
        <v>63</v>
      </c>
      <c r="K15" s="4" t="s">
        <v>67</v>
      </c>
      <c r="L15" s="5">
        <v>66100</v>
      </c>
    </row>
    <row r="16" spans="1:12" ht="30" x14ac:dyDescent="0.25">
      <c r="A16" s="3" t="s">
        <v>12</v>
      </c>
      <c r="B16" s="4" t="s">
        <v>13</v>
      </c>
      <c r="C16" s="4" t="s">
        <v>25</v>
      </c>
      <c r="D16" s="4" t="s">
        <v>26</v>
      </c>
      <c r="E16" s="5" t="str">
        <f>"9090098"</f>
        <v>9090098</v>
      </c>
      <c r="F16" s="3" t="s">
        <v>68</v>
      </c>
      <c r="G16" s="5">
        <v>2521051948</v>
      </c>
      <c r="H16" s="4" t="s">
        <v>69</v>
      </c>
      <c r="I16" s="4" t="s">
        <v>53</v>
      </c>
      <c r="J16" s="4" t="s">
        <v>70</v>
      </c>
      <c r="K16" s="4" t="s">
        <v>71</v>
      </c>
      <c r="L16" s="5">
        <v>66031</v>
      </c>
    </row>
    <row r="17" spans="1:12" ht="30" x14ac:dyDescent="0.25">
      <c r="A17" s="3" t="s">
        <v>12</v>
      </c>
      <c r="B17" s="4" t="s">
        <v>13</v>
      </c>
      <c r="C17" s="4" t="s">
        <v>25</v>
      </c>
      <c r="D17" s="4" t="s">
        <v>26</v>
      </c>
      <c r="E17" s="5" t="str">
        <f>"9090084"</f>
        <v>9090084</v>
      </c>
      <c r="F17" s="3" t="s">
        <v>72</v>
      </c>
      <c r="G17" s="5">
        <v>2521031697</v>
      </c>
      <c r="H17" s="4" t="s">
        <v>73</v>
      </c>
      <c r="I17" s="4" t="s">
        <v>18</v>
      </c>
      <c r="J17" s="4" t="s">
        <v>18</v>
      </c>
      <c r="K17" s="4" t="s">
        <v>74</v>
      </c>
      <c r="L17" s="5">
        <v>66100</v>
      </c>
    </row>
    <row r="18" spans="1:12" ht="30" x14ac:dyDescent="0.25">
      <c r="A18" s="3" t="s">
        <v>12</v>
      </c>
      <c r="B18" s="4" t="s">
        <v>13</v>
      </c>
      <c r="C18" s="4" t="s">
        <v>14</v>
      </c>
      <c r="D18" s="4" t="s">
        <v>15</v>
      </c>
      <c r="E18" s="5" t="str">
        <f>"9090219"</f>
        <v>9090219</v>
      </c>
      <c r="F18" s="3" t="s">
        <v>75</v>
      </c>
      <c r="G18" s="5">
        <v>2521035656</v>
      </c>
      <c r="H18" s="4" t="s">
        <v>76</v>
      </c>
      <c r="I18" s="4" t="s">
        <v>18</v>
      </c>
      <c r="J18" s="4" t="s">
        <v>23</v>
      </c>
      <c r="K18" s="4" t="s">
        <v>77</v>
      </c>
      <c r="L18" s="5">
        <v>66133</v>
      </c>
    </row>
    <row r="19" spans="1:12" ht="30" x14ac:dyDescent="0.25">
      <c r="A19" s="3" t="s">
        <v>12</v>
      </c>
      <c r="B19" s="4" t="s">
        <v>13</v>
      </c>
      <c r="C19" s="4" t="s">
        <v>25</v>
      </c>
      <c r="D19" s="4" t="s">
        <v>26</v>
      </c>
      <c r="E19" s="5" t="str">
        <f>"9090072"</f>
        <v>9090072</v>
      </c>
      <c r="F19" s="3" t="s">
        <v>78</v>
      </c>
      <c r="G19" s="5">
        <v>2521042231</v>
      </c>
      <c r="H19" s="4" t="s">
        <v>79</v>
      </c>
      <c r="I19" s="4" t="s">
        <v>18</v>
      </c>
      <c r="J19" s="4" t="s">
        <v>18</v>
      </c>
      <c r="K19" s="4" t="s">
        <v>80</v>
      </c>
      <c r="L19" s="5">
        <v>66100</v>
      </c>
    </row>
    <row r="20" spans="1:12" ht="30" x14ac:dyDescent="0.25">
      <c r="A20" s="3" t="s">
        <v>12</v>
      </c>
      <c r="B20" s="4" t="s">
        <v>13</v>
      </c>
      <c r="C20" s="4" t="s">
        <v>14</v>
      </c>
      <c r="D20" s="4" t="s">
        <v>15</v>
      </c>
      <c r="E20" s="5" t="str">
        <f>"9090106"</f>
        <v>9090106</v>
      </c>
      <c r="F20" s="3" t="s">
        <v>81</v>
      </c>
      <c r="G20" s="5">
        <v>2521083442</v>
      </c>
      <c r="H20" s="4" t="s">
        <v>82</v>
      </c>
      <c r="I20" s="4" t="s">
        <v>18</v>
      </c>
      <c r="J20" s="4" t="s">
        <v>83</v>
      </c>
      <c r="K20" s="4" t="s">
        <v>83</v>
      </c>
      <c r="L20" s="5">
        <v>66100</v>
      </c>
    </row>
    <row r="21" spans="1:12" ht="30" x14ac:dyDescent="0.25">
      <c r="A21" s="3" t="s">
        <v>12</v>
      </c>
      <c r="B21" s="4" t="s">
        <v>13</v>
      </c>
      <c r="C21" s="4" t="s">
        <v>25</v>
      </c>
      <c r="D21" s="4" t="s">
        <v>26</v>
      </c>
      <c r="E21" s="5" t="str">
        <f>"9090121"</f>
        <v>9090121</v>
      </c>
      <c r="F21" s="3" t="s">
        <v>84</v>
      </c>
      <c r="G21" s="5">
        <v>2521092296</v>
      </c>
      <c r="H21" s="4" t="s">
        <v>85</v>
      </c>
      <c r="I21" s="4" t="s">
        <v>18</v>
      </c>
      <c r="J21" s="4" t="s">
        <v>86</v>
      </c>
      <c r="K21" s="4" t="s">
        <v>87</v>
      </c>
      <c r="L21" s="5">
        <v>66100</v>
      </c>
    </row>
    <row r="22" spans="1:12" ht="30" x14ac:dyDescent="0.25">
      <c r="A22" s="3" t="s">
        <v>12</v>
      </c>
      <c r="B22" s="4" t="s">
        <v>13</v>
      </c>
      <c r="C22" s="4" t="s">
        <v>14</v>
      </c>
      <c r="D22" s="4" t="s">
        <v>15</v>
      </c>
      <c r="E22" s="5" t="str">
        <f>"9090016"</f>
        <v>9090016</v>
      </c>
      <c r="F22" s="3" t="s">
        <v>88</v>
      </c>
      <c r="G22" s="5">
        <v>2521066435</v>
      </c>
      <c r="H22" s="4" t="s">
        <v>89</v>
      </c>
      <c r="I22" s="4" t="s">
        <v>53</v>
      </c>
      <c r="J22" s="4" t="s">
        <v>90</v>
      </c>
      <c r="K22" s="4" t="s">
        <v>91</v>
      </c>
      <c r="L22" s="5">
        <v>66300</v>
      </c>
    </row>
    <row r="23" spans="1:12" ht="30" x14ac:dyDescent="0.25">
      <c r="A23" s="3" t="s">
        <v>12</v>
      </c>
      <c r="B23" s="4" t="s">
        <v>13</v>
      </c>
      <c r="C23" s="4" t="s">
        <v>14</v>
      </c>
      <c r="D23" s="4" t="s">
        <v>15</v>
      </c>
      <c r="E23" s="5" t="str">
        <f>"9090078"</f>
        <v>9090078</v>
      </c>
      <c r="F23" s="3" t="s">
        <v>92</v>
      </c>
      <c r="G23" s="5">
        <v>2521032400</v>
      </c>
      <c r="H23" s="4" t="s">
        <v>93</v>
      </c>
      <c r="I23" s="4" t="s">
        <v>18</v>
      </c>
      <c r="J23" s="4" t="s">
        <v>63</v>
      </c>
      <c r="K23" s="4" t="s">
        <v>94</v>
      </c>
      <c r="L23" s="5">
        <v>66131</v>
      </c>
    </row>
    <row r="24" spans="1:12" ht="30" x14ac:dyDescent="0.25">
      <c r="A24" s="3" t="s">
        <v>12</v>
      </c>
      <c r="B24" s="4" t="s">
        <v>13</v>
      </c>
      <c r="C24" s="4" t="s">
        <v>14</v>
      </c>
      <c r="D24" s="4" t="s">
        <v>15</v>
      </c>
      <c r="E24" s="5" t="str">
        <f>"9090132"</f>
        <v>9090132</v>
      </c>
      <c r="F24" s="3" t="s">
        <v>95</v>
      </c>
      <c r="G24" s="5">
        <v>2521095322</v>
      </c>
      <c r="H24" s="4" t="s">
        <v>96</v>
      </c>
      <c r="I24" s="4" t="s">
        <v>49</v>
      </c>
      <c r="J24" s="4" t="s">
        <v>97</v>
      </c>
      <c r="K24" s="4" t="s">
        <v>98</v>
      </c>
      <c r="L24" s="5">
        <v>66100</v>
      </c>
    </row>
    <row r="25" spans="1:12" ht="30" x14ac:dyDescent="0.25">
      <c r="A25" s="3" t="s">
        <v>12</v>
      </c>
      <c r="B25" s="4" t="s">
        <v>13</v>
      </c>
      <c r="C25" s="4" t="s">
        <v>14</v>
      </c>
      <c r="D25" s="4" t="s">
        <v>15</v>
      </c>
      <c r="E25" s="5" t="str">
        <f>"9090076"</f>
        <v>9090076</v>
      </c>
      <c r="F25" s="3" t="s">
        <v>99</v>
      </c>
      <c r="G25" s="5">
        <v>2521033262</v>
      </c>
      <c r="H25" s="4" t="s">
        <v>100</v>
      </c>
      <c r="I25" s="4" t="s">
        <v>18</v>
      </c>
      <c r="J25" s="4" t="s">
        <v>23</v>
      </c>
      <c r="K25" s="4" t="s">
        <v>101</v>
      </c>
      <c r="L25" s="5">
        <v>66131</v>
      </c>
    </row>
    <row r="26" spans="1:12" ht="30" x14ac:dyDescent="0.25">
      <c r="A26" s="3" t="s">
        <v>12</v>
      </c>
      <c r="B26" s="4" t="s">
        <v>13</v>
      </c>
      <c r="C26" s="4" t="s">
        <v>14</v>
      </c>
      <c r="D26" s="4" t="s">
        <v>15</v>
      </c>
      <c r="E26" s="5" t="str">
        <f>"9090075"</f>
        <v>9090075</v>
      </c>
      <c r="F26" s="3" t="s">
        <v>102</v>
      </c>
      <c r="G26" s="5">
        <v>2521034593</v>
      </c>
      <c r="H26" s="4" t="s">
        <v>103</v>
      </c>
      <c r="I26" s="4" t="s">
        <v>18</v>
      </c>
      <c r="J26" s="4" t="s">
        <v>104</v>
      </c>
      <c r="K26" s="4" t="s">
        <v>105</v>
      </c>
      <c r="L26" s="5">
        <v>66100</v>
      </c>
    </row>
    <row r="27" spans="1:12" ht="30" x14ac:dyDescent="0.25">
      <c r="A27" s="3" t="s">
        <v>12</v>
      </c>
      <c r="B27" s="4" t="s">
        <v>13</v>
      </c>
      <c r="C27" s="4" t="s">
        <v>14</v>
      </c>
      <c r="D27" s="4" t="s">
        <v>15</v>
      </c>
      <c r="E27" s="5" t="str">
        <f>"9090015"</f>
        <v>9090015</v>
      </c>
      <c r="F27" s="3" t="s">
        <v>106</v>
      </c>
      <c r="G27" s="5">
        <v>2521022785</v>
      </c>
      <c r="H27" s="4" t="s">
        <v>107</v>
      </c>
      <c r="I27" s="4" t="s">
        <v>18</v>
      </c>
      <c r="J27" s="4" t="s">
        <v>63</v>
      </c>
      <c r="K27" s="4" t="s">
        <v>38</v>
      </c>
      <c r="L27" s="5">
        <v>66132</v>
      </c>
    </row>
    <row r="28" spans="1:12" ht="30" x14ac:dyDescent="0.25">
      <c r="A28" s="3" t="s">
        <v>12</v>
      </c>
      <c r="B28" s="4" t="s">
        <v>13</v>
      </c>
      <c r="C28" s="4" t="s">
        <v>14</v>
      </c>
      <c r="D28" s="4" t="s">
        <v>15</v>
      </c>
      <c r="E28" s="5" t="str">
        <f>"9090223"</f>
        <v>9090223</v>
      </c>
      <c r="F28" s="3" t="s">
        <v>108</v>
      </c>
      <c r="G28" s="5">
        <v>2521067126</v>
      </c>
      <c r="H28" s="4" t="s">
        <v>109</v>
      </c>
      <c r="I28" s="4" t="s">
        <v>53</v>
      </c>
      <c r="J28" s="4" t="s">
        <v>110</v>
      </c>
      <c r="K28" s="4" t="s">
        <v>111</v>
      </c>
      <c r="L28" s="5">
        <v>66300</v>
      </c>
    </row>
    <row r="29" spans="1:12" ht="30" x14ac:dyDescent="0.25">
      <c r="A29" s="3" t="s">
        <v>12</v>
      </c>
      <c r="B29" s="4" t="s">
        <v>13</v>
      </c>
      <c r="C29" s="4" t="s">
        <v>14</v>
      </c>
      <c r="D29" s="4" t="s">
        <v>15</v>
      </c>
      <c r="E29" s="5" t="str">
        <f>"9090077"</f>
        <v>9090077</v>
      </c>
      <c r="F29" s="3" t="s">
        <v>112</v>
      </c>
      <c r="G29" s="5">
        <v>2521035113</v>
      </c>
      <c r="H29" s="4" t="s">
        <v>113</v>
      </c>
      <c r="I29" s="4" t="s">
        <v>18</v>
      </c>
      <c r="J29" s="4" t="s">
        <v>23</v>
      </c>
      <c r="K29" s="4" t="s">
        <v>114</v>
      </c>
      <c r="L29" s="5">
        <v>66133</v>
      </c>
    </row>
    <row r="30" spans="1:12" ht="30" x14ac:dyDescent="0.25">
      <c r="A30" s="3" t="s">
        <v>12</v>
      </c>
      <c r="B30" s="4" t="s">
        <v>13</v>
      </c>
      <c r="C30" s="4" t="s">
        <v>14</v>
      </c>
      <c r="D30" s="4" t="s">
        <v>15</v>
      </c>
      <c r="E30" s="5" t="str">
        <f>"9090007"</f>
        <v>9090007</v>
      </c>
      <c r="F30" s="3" t="s">
        <v>115</v>
      </c>
      <c r="G30" s="5">
        <v>2521022810</v>
      </c>
      <c r="H30" s="4" t="s">
        <v>116</v>
      </c>
      <c r="I30" s="4" t="s">
        <v>18</v>
      </c>
      <c r="J30" s="4" t="s">
        <v>63</v>
      </c>
      <c r="K30" s="4" t="s">
        <v>117</v>
      </c>
      <c r="L30" s="5">
        <v>66133</v>
      </c>
    </row>
    <row r="31" spans="1:12" ht="30" x14ac:dyDescent="0.25">
      <c r="A31" s="3" t="s">
        <v>12</v>
      </c>
      <c r="B31" s="4" t="s">
        <v>13</v>
      </c>
      <c r="C31" s="4" t="s">
        <v>14</v>
      </c>
      <c r="D31" s="4" t="s">
        <v>15</v>
      </c>
      <c r="E31" s="5" t="str">
        <f>"9090034"</f>
        <v>9090034</v>
      </c>
      <c r="F31" s="3" t="s">
        <v>118</v>
      </c>
      <c r="G31" s="5">
        <v>2521071214</v>
      </c>
      <c r="H31" s="4" t="s">
        <v>119</v>
      </c>
      <c r="I31" s="4" t="s">
        <v>53</v>
      </c>
      <c r="J31" s="4" t="s">
        <v>120</v>
      </c>
      <c r="K31" s="4" t="s">
        <v>121</v>
      </c>
      <c r="L31" s="5">
        <v>66032</v>
      </c>
    </row>
    <row r="32" spans="1:12" ht="30" x14ac:dyDescent="0.25">
      <c r="A32" s="3" t="s">
        <v>12</v>
      </c>
      <c r="B32" s="4" t="s">
        <v>13</v>
      </c>
      <c r="C32" s="4" t="s">
        <v>25</v>
      </c>
      <c r="D32" s="4" t="s">
        <v>26</v>
      </c>
      <c r="E32" s="5" t="str">
        <f>"9090005"</f>
        <v>9090005</v>
      </c>
      <c r="F32" s="3" t="s">
        <v>122</v>
      </c>
      <c r="G32" s="5">
        <v>2521025216</v>
      </c>
      <c r="H32" s="4" t="s">
        <v>123</v>
      </c>
      <c r="I32" s="4" t="s">
        <v>18</v>
      </c>
      <c r="J32" s="4" t="s">
        <v>18</v>
      </c>
      <c r="K32" s="4" t="s">
        <v>124</v>
      </c>
      <c r="L32" s="5">
        <v>66100</v>
      </c>
    </row>
    <row r="33" spans="1:12" ht="30" x14ac:dyDescent="0.25">
      <c r="A33" s="3" t="s">
        <v>12</v>
      </c>
      <c r="B33" s="4" t="s">
        <v>13</v>
      </c>
      <c r="C33" s="4" t="s">
        <v>14</v>
      </c>
      <c r="D33" s="4" t="s">
        <v>15</v>
      </c>
      <c r="E33" s="5" t="str">
        <f>"9090194"</f>
        <v>9090194</v>
      </c>
      <c r="F33" s="3" t="s">
        <v>125</v>
      </c>
      <c r="G33" s="5">
        <v>2521035959</v>
      </c>
      <c r="H33" s="4" t="s">
        <v>126</v>
      </c>
      <c r="I33" s="4" t="s">
        <v>18</v>
      </c>
      <c r="J33" s="4" t="s">
        <v>23</v>
      </c>
      <c r="K33" s="4" t="s">
        <v>127</v>
      </c>
      <c r="L33" s="5">
        <v>66131</v>
      </c>
    </row>
    <row r="34" spans="1:12" ht="30" x14ac:dyDescent="0.25">
      <c r="A34" s="3" t="s">
        <v>12</v>
      </c>
      <c r="B34" s="4" t="s">
        <v>13</v>
      </c>
      <c r="C34" s="4" t="s">
        <v>14</v>
      </c>
      <c r="D34" s="4" t="s">
        <v>15</v>
      </c>
      <c r="E34" s="5" t="str">
        <f>"9090004"</f>
        <v>9090004</v>
      </c>
      <c r="F34" s="3" t="s">
        <v>128</v>
      </c>
      <c r="G34" s="5">
        <v>2521022679</v>
      </c>
      <c r="H34" s="4" t="s">
        <v>129</v>
      </c>
      <c r="I34" s="4" t="s">
        <v>18</v>
      </c>
      <c r="J34" s="4" t="s">
        <v>23</v>
      </c>
      <c r="K34" s="4" t="s">
        <v>130</v>
      </c>
      <c r="L34" s="5">
        <v>66132</v>
      </c>
    </row>
    <row r="35" spans="1:12" ht="30" x14ac:dyDescent="0.25">
      <c r="A35" s="3" t="s">
        <v>12</v>
      </c>
      <c r="B35" s="4" t="s">
        <v>13</v>
      </c>
      <c r="C35" s="4" t="s">
        <v>14</v>
      </c>
      <c r="D35" s="4" t="s">
        <v>15</v>
      </c>
      <c r="E35" s="5" t="str">
        <f>"9090079"</f>
        <v>9090079</v>
      </c>
      <c r="F35" s="3" t="s">
        <v>131</v>
      </c>
      <c r="G35" s="5">
        <v>2521032992</v>
      </c>
      <c r="H35" s="4" t="s">
        <v>132</v>
      </c>
      <c r="I35" s="4" t="s">
        <v>18</v>
      </c>
      <c r="J35" s="4" t="s">
        <v>133</v>
      </c>
      <c r="K35" s="4" t="s">
        <v>134</v>
      </c>
      <c r="L35" s="5">
        <v>66133</v>
      </c>
    </row>
    <row r="36" spans="1:12" ht="30" x14ac:dyDescent="0.25">
      <c r="A36" s="3" t="s">
        <v>12</v>
      </c>
      <c r="B36" s="4" t="s">
        <v>13</v>
      </c>
      <c r="C36" s="4" t="s">
        <v>14</v>
      </c>
      <c r="D36" s="4" t="s">
        <v>15</v>
      </c>
      <c r="E36" s="5" t="str">
        <f>"9090210"</f>
        <v>9090210</v>
      </c>
      <c r="F36" s="3" t="s">
        <v>135</v>
      </c>
      <c r="G36" s="5">
        <v>2521036157</v>
      </c>
      <c r="H36" s="4" t="s">
        <v>136</v>
      </c>
      <c r="I36" s="4" t="s">
        <v>18</v>
      </c>
      <c r="J36" s="4" t="s">
        <v>63</v>
      </c>
      <c r="K36" s="4" t="s">
        <v>137</v>
      </c>
      <c r="L36" s="5">
        <v>66133</v>
      </c>
    </row>
    <row r="37" spans="1:12" ht="30" x14ac:dyDescent="0.25">
      <c r="A37" s="3" t="s">
        <v>12</v>
      </c>
      <c r="B37" s="4" t="s">
        <v>13</v>
      </c>
      <c r="C37" s="4" t="s">
        <v>14</v>
      </c>
      <c r="D37" s="4" t="s">
        <v>15</v>
      </c>
      <c r="E37" s="5" t="str">
        <f>"9090080"</f>
        <v>9090080</v>
      </c>
      <c r="F37" s="3" t="s">
        <v>138</v>
      </c>
      <c r="G37" s="5">
        <v>2521032600</v>
      </c>
      <c r="H37" s="4" t="s">
        <v>139</v>
      </c>
      <c r="I37" s="4" t="s">
        <v>18</v>
      </c>
      <c r="J37" s="4" t="s">
        <v>18</v>
      </c>
      <c r="K37" s="4" t="s">
        <v>140</v>
      </c>
      <c r="L37" s="5">
        <v>66132</v>
      </c>
    </row>
    <row r="38" spans="1:12" ht="30" x14ac:dyDescent="0.25">
      <c r="A38" s="3" t="s">
        <v>12</v>
      </c>
      <c r="B38" s="4" t="s">
        <v>13</v>
      </c>
      <c r="C38" s="4" t="s">
        <v>14</v>
      </c>
      <c r="D38" s="4" t="s">
        <v>15</v>
      </c>
      <c r="E38" s="5" t="str">
        <f>"9090120"</f>
        <v>9090120</v>
      </c>
      <c r="F38" s="3" t="s">
        <v>141</v>
      </c>
      <c r="G38" s="5">
        <v>2521092261</v>
      </c>
      <c r="H38" s="4" t="s">
        <v>142</v>
      </c>
      <c r="I38" s="4" t="s">
        <v>18</v>
      </c>
      <c r="J38" s="4" t="s">
        <v>23</v>
      </c>
      <c r="K38" s="4" t="s">
        <v>143</v>
      </c>
      <c r="L38" s="5">
        <v>66100</v>
      </c>
    </row>
    <row r="39" spans="1:12" ht="30" x14ac:dyDescent="0.25">
      <c r="A39" s="3" t="s">
        <v>12</v>
      </c>
      <c r="B39" s="4" t="s">
        <v>13</v>
      </c>
      <c r="C39" s="4" t="s">
        <v>14</v>
      </c>
      <c r="D39" s="4" t="s">
        <v>15</v>
      </c>
      <c r="E39" s="5" t="str">
        <f>"9090135"</f>
        <v>9090135</v>
      </c>
      <c r="F39" s="3" t="s">
        <v>144</v>
      </c>
      <c r="G39" s="5">
        <v>2521093232</v>
      </c>
      <c r="H39" s="4" t="s">
        <v>145</v>
      </c>
      <c r="I39" s="4" t="s">
        <v>49</v>
      </c>
      <c r="J39" s="4"/>
      <c r="K39" s="4" t="s">
        <v>146</v>
      </c>
      <c r="L39" s="5">
        <v>66034</v>
      </c>
    </row>
    <row r="40" spans="1:12" ht="30" x14ac:dyDescent="0.25">
      <c r="A40" s="3" t="s">
        <v>12</v>
      </c>
      <c r="B40" s="4" t="s">
        <v>13</v>
      </c>
      <c r="C40" s="4" t="s">
        <v>14</v>
      </c>
      <c r="D40" s="4" t="s">
        <v>15</v>
      </c>
      <c r="E40" s="5" t="str">
        <f>"9090126"</f>
        <v>9090126</v>
      </c>
      <c r="F40" s="3" t="s">
        <v>147</v>
      </c>
      <c r="G40" s="5">
        <v>2522041204</v>
      </c>
      <c r="H40" s="4" t="s">
        <v>148</v>
      </c>
      <c r="I40" s="4" t="s">
        <v>49</v>
      </c>
      <c r="J40" s="4" t="s">
        <v>149</v>
      </c>
      <c r="K40" s="4" t="s">
        <v>149</v>
      </c>
      <c r="L40" s="5">
        <v>66200</v>
      </c>
    </row>
    <row r="41" spans="1:12" ht="30" x14ac:dyDescent="0.25">
      <c r="A41" s="3" t="s">
        <v>12</v>
      </c>
      <c r="B41" s="4" t="s">
        <v>13</v>
      </c>
      <c r="C41" s="4" t="s">
        <v>14</v>
      </c>
      <c r="D41" s="4" t="s">
        <v>15</v>
      </c>
      <c r="E41" s="5" t="str">
        <f>"9090096"</f>
        <v>9090096</v>
      </c>
      <c r="F41" s="3" t="s">
        <v>150</v>
      </c>
      <c r="G41" s="5">
        <v>2521051223</v>
      </c>
      <c r="H41" s="4" t="s">
        <v>151</v>
      </c>
      <c r="I41" s="4" t="s">
        <v>53</v>
      </c>
      <c r="J41" s="4" t="s">
        <v>152</v>
      </c>
      <c r="K41" s="4" t="s">
        <v>153</v>
      </c>
      <c r="L41" s="5">
        <v>66031</v>
      </c>
    </row>
    <row r="42" spans="1:12" ht="30" x14ac:dyDescent="0.25">
      <c r="A42" s="3" t="s">
        <v>12</v>
      </c>
      <c r="B42" s="4" t="s">
        <v>13</v>
      </c>
      <c r="C42" s="4" t="s">
        <v>14</v>
      </c>
      <c r="D42" s="4" t="s">
        <v>15</v>
      </c>
      <c r="E42" s="5" t="str">
        <f>"9090097"</f>
        <v>9090097</v>
      </c>
      <c r="F42" s="3" t="s">
        <v>154</v>
      </c>
      <c r="G42" s="5">
        <v>2521051225</v>
      </c>
      <c r="H42" s="4" t="s">
        <v>155</v>
      </c>
      <c r="I42" s="4" t="s">
        <v>53</v>
      </c>
      <c r="J42" s="4" t="s">
        <v>71</v>
      </c>
      <c r="K42" s="4" t="s">
        <v>156</v>
      </c>
      <c r="L42" s="5">
        <v>66031</v>
      </c>
    </row>
    <row r="43" spans="1:12" ht="30" x14ac:dyDescent="0.25">
      <c r="A43" s="3" t="s">
        <v>12</v>
      </c>
      <c r="B43" s="4" t="s">
        <v>13</v>
      </c>
      <c r="C43" s="4" t="s">
        <v>14</v>
      </c>
      <c r="D43" s="4" t="s">
        <v>15</v>
      </c>
      <c r="E43" s="5" t="str">
        <f>"9090137"</f>
        <v>9090137</v>
      </c>
      <c r="F43" s="3" t="s">
        <v>157</v>
      </c>
      <c r="G43" s="5">
        <v>2522022251</v>
      </c>
      <c r="H43" s="4" t="s">
        <v>158</v>
      </c>
      <c r="I43" s="4" t="s">
        <v>49</v>
      </c>
      <c r="J43" s="4" t="s">
        <v>159</v>
      </c>
      <c r="K43" s="4" t="s">
        <v>160</v>
      </c>
      <c r="L43" s="5">
        <v>66200</v>
      </c>
    </row>
    <row r="44" spans="1:12" ht="30" x14ac:dyDescent="0.25">
      <c r="A44" s="3" t="s">
        <v>12</v>
      </c>
      <c r="B44" s="4" t="s">
        <v>13</v>
      </c>
      <c r="C44" s="4" t="s">
        <v>14</v>
      </c>
      <c r="D44" s="4" t="s">
        <v>15</v>
      </c>
      <c r="E44" s="5" t="str">
        <f>"9090073"</f>
        <v>9090073</v>
      </c>
      <c r="F44" s="3" t="s">
        <v>161</v>
      </c>
      <c r="G44" s="5">
        <v>2521042225</v>
      </c>
      <c r="H44" s="4" t="s">
        <v>162</v>
      </c>
      <c r="I44" s="4" t="s">
        <v>18</v>
      </c>
      <c r="J44" s="4" t="s">
        <v>80</v>
      </c>
      <c r="K44" s="4" t="s">
        <v>80</v>
      </c>
      <c r="L44" s="5">
        <v>66100</v>
      </c>
    </row>
    <row r="45" spans="1:12" ht="30" x14ac:dyDescent="0.25">
      <c r="A45" s="3" t="s">
        <v>12</v>
      </c>
      <c r="B45" s="4" t="s">
        <v>13</v>
      </c>
      <c r="C45" s="4" t="s">
        <v>14</v>
      </c>
      <c r="D45" s="4" t="s">
        <v>15</v>
      </c>
      <c r="E45" s="5" t="str">
        <f>"9090020"</f>
        <v>9090020</v>
      </c>
      <c r="F45" s="3" t="s">
        <v>163</v>
      </c>
      <c r="G45" s="5">
        <v>2521082340</v>
      </c>
      <c r="H45" s="4" t="s">
        <v>164</v>
      </c>
      <c r="I45" s="4" t="s">
        <v>165</v>
      </c>
      <c r="J45" s="4" t="s">
        <v>166</v>
      </c>
      <c r="K45" s="4" t="s">
        <v>166</v>
      </c>
      <c r="L45" s="5">
        <v>66150</v>
      </c>
    </row>
    <row r="46" spans="1:12" ht="30" x14ac:dyDescent="0.25">
      <c r="A46" s="3" t="s">
        <v>12</v>
      </c>
      <c r="B46" s="4" t="s">
        <v>13</v>
      </c>
      <c r="C46" s="4" t="s">
        <v>14</v>
      </c>
      <c r="D46" s="4" t="s">
        <v>15</v>
      </c>
      <c r="E46" s="5" t="str">
        <f>"9090002"</f>
        <v>9090002</v>
      </c>
      <c r="F46" s="3" t="s">
        <v>167</v>
      </c>
      <c r="G46" s="5">
        <v>2521066926</v>
      </c>
      <c r="H46" s="4" t="s">
        <v>168</v>
      </c>
      <c r="I46" s="4" t="s">
        <v>53</v>
      </c>
      <c r="J46" s="4" t="s">
        <v>169</v>
      </c>
      <c r="K46" s="4" t="s">
        <v>54</v>
      </c>
      <c r="L46" s="5">
        <v>66300</v>
      </c>
    </row>
    <row r="47" spans="1:12" ht="30" x14ac:dyDescent="0.25">
      <c r="A47" s="3" t="s">
        <v>12</v>
      </c>
      <c r="B47" s="4" t="s">
        <v>13</v>
      </c>
      <c r="C47" s="4" t="s">
        <v>25</v>
      </c>
      <c r="D47" s="4" t="s">
        <v>26</v>
      </c>
      <c r="E47" s="5" t="str">
        <f>"9090163"</f>
        <v>9090163</v>
      </c>
      <c r="F47" s="3" t="s">
        <v>170</v>
      </c>
      <c r="G47" s="5">
        <v>2523022618</v>
      </c>
      <c r="H47" s="4" t="s">
        <v>171</v>
      </c>
      <c r="I47" s="4" t="s">
        <v>44</v>
      </c>
      <c r="J47" s="4" t="s">
        <v>44</v>
      </c>
      <c r="K47" s="4" t="s">
        <v>172</v>
      </c>
      <c r="L47" s="5">
        <v>66033</v>
      </c>
    </row>
    <row r="48" spans="1:12" ht="30" x14ac:dyDescent="0.25">
      <c r="A48" s="3" t="s">
        <v>12</v>
      </c>
      <c r="B48" s="4" t="s">
        <v>13</v>
      </c>
      <c r="C48" s="4" t="s">
        <v>25</v>
      </c>
      <c r="D48" s="4" t="s">
        <v>26</v>
      </c>
      <c r="E48" s="5" t="str">
        <f>"9090047"</f>
        <v>9090047</v>
      </c>
      <c r="F48" s="3" t="s">
        <v>173</v>
      </c>
      <c r="G48" s="5">
        <v>2524022498</v>
      </c>
      <c r="H48" s="4" t="s">
        <v>174</v>
      </c>
      <c r="I48" s="4" t="s">
        <v>165</v>
      </c>
      <c r="J48" s="4" t="s">
        <v>165</v>
      </c>
      <c r="K48" s="4" t="s">
        <v>175</v>
      </c>
      <c r="L48" s="5">
        <v>66035</v>
      </c>
    </row>
    <row r="49" spans="1:12" ht="30" x14ac:dyDescent="0.25">
      <c r="A49" s="3" t="s">
        <v>12</v>
      </c>
      <c r="B49" s="4" t="s">
        <v>13</v>
      </c>
      <c r="C49" s="4" t="s">
        <v>25</v>
      </c>
      <c r="D49" s="4" t="s">
        <v>26</v>
      </c>
      <c r="E49" s="5" t="str">
        <f>"9090140"</f>
        <v>9090140</v>
      </c>
      <c r="F49" s="3" t="s">
        <v>176</v>
      </c>
      <c r="G49" s="5">
        <v>2522022757</v>
      </c>
      <c r="H49" s="4" t="s">
        <v>177</v>
      </c>
      <c r="I49" s="4" t="s">
        <v>49</v>
      </c>
      <c r="J49" s="4" t="s">
        <v>49</v>
      </c>
      <c r="K49" s="4" t="s">
        <v>178</v>
      </c>
      <c r="L49" s="5">
        <v>66200</v>
      </c>
    </row>
    <row r="50" spans="1:12" ht="30" x14ac:dyDescent="0.25">
      <c r="A50" s="3" t="s">
        <v>12</v>
      </c>
      <c r="B50" s="4" t="s">
        <v>13</v>
      </c>
      <c r="C50" s="4" t="s">
        <v>14</v>
      </c>
      <c r="D50" s="4" t="s">
        <v>179</v>
      </c>
      <c r="E50" s="5" t="str">
        <f>"9090048"</f>
        <v>9090048</v>
      </c>
      <c r="F50" s="3" t="s">
        <v>180</v>
      </c>
      <c r="G50" s="5">
        <v>2524022212</v>
      </c>
      <c r="H50" s="4" t="s">
        <v>181</v>
      </c>
      <c r="I50" s="4" t="s">
        <v>165</v>
      </c>
      <c r="J50" s="4" t="s">
        <v>182</v>
      </c>
      <c r="K50" s="4" t="s">
        <v>183</v>
      </c>
      <c r="L50" s="5">
        <v>66035</v>
      </c>
    </row>
    <row r="51" spans="1:12" ht="30" x14ac:dyDescent="0.25">
      <c r="A51" s="3" t="s">
        <v>12</v>
      </c>
      <c r="B51" s="4" t="s">
        <v>13</v>
      </c>
      <c r="C51" s="4" t="s">
        <v>25</v>
      </c>
      <c r="D51" s="4" t="s">
        <v>26</v>
      </c>
      <c r="E51" s="5" t="str">
        <f>"9090127"</f>
        <v>9090127</v>
      </c>
      <c r="F51" s="3" t="s">
        <v>184</v>
      </c>
      <c r="G51" s="5">
        <v>2522041184</v>
      </c>
      <c r="H51" s="4" t="s">
        <v>185</v>
      </c>
      <c r="I51" s="4" t="s">
        <v>49</v>
      </c>
      <c r="J51" s="4" t="s">
        <v>149</v>
      </c>
      <c r="K51" s="4" t="s">
        <v>149</v>
      </c>
      <c r="L51" s="5">
        <v>66200</v>
      </c>
    </row>
    <row r="52" spans="1:12" ht="30" x14ac:dyDescent="0.25">
      <c r="A52" s="3" t="s">
        <v>12</v>
      </c>
      <c r="B52" s="4" t="s">
        <v>13</v>
      </c>
      <c r="C52" s="4" t="s">
        <v>14</v>
      </c>
      <c r="D52" s="4" t="s">
        <v>15</v>
      </c>
      <c r="E52" s="5" t="str">
        <f>"9521084"</f>
        <v>9521084</v>
      </c>
      <c r="F52" s="3" t="s">
        <v>186</v>
      </c>
      <c r="G52" s="5">
        <v>2521032016</v>
      </c>
      <c r="H52" s="4" t="s">
        <v>187</v>
      </c>
      <c r="I52" s="4" t="s">
        <v>18</v>
      </c>
      <c r="J52" s="4" t="s">
        <v>23</v>
      </c>
      <c r="K52" s="4" t="s">
        <v>188</v>
      </c>
      <c r="L52" s="5">
        <v>66100</v>
      </c>
    </row>
    <row r="53" spans="1:12" ht="30" x14ac:dyDescent="0.25">
      <c r="A53" s="3" t="s">
        <v>12</v>
      </c>
      <c r="B53" s="4" t="s">
        <v>13</v>
      </c>
      <c r="C53" s="4" t="s">
        <v>14</v>
      </c>
      <c r="D53" s="4" t="s">
        <v>15</v>
      </c>
      <c r="E53" s="5" t="str">
        <f>"9521339"</f>
        <v>9521339</v>
      </c>
      <c r="F53" s="3" t="s">
        <v>189</v>
      </c>
      <c r="G53" s="5">
        <v>2522021115</v>
      </c>
      <c r="H53" s="4" t="s">
        <v>190</v>
      </c>
      <c r="I53" s="4" t="s">
        <v>49</v>
      </c>
      <c r="J53" s="4" t="s">
        <v>159</v>
      </c>
      <c r="K53" s="4" t="s">
        <v>191</v>
      </c>
      <c r="L53" s="5">
        <v>66200</v>
      </c>
    </row>
    <row r="54" spans="1:12" ht="30" x14ac:dyDescent="0.25">
      <c r="A54" s="3" t="s">
        <v>12</v>
      </c>
      <c r="B54" s="4" t="s">
        <v>192</v>
      </c>
      <c r="C54" s="4" t="s">
        <v>14</v>
      </c>
      <c r="D54" s="4" t="s">
        <v>15</v>
      </c>
      <c r="E54" s="5" t="str">
        <f>"9110017"</f>
        <v>9110017</v>
      </c>
      <c r="F54" s="3" t="s">
        <v>193</v>
      </c>
      <c r="G54" s="5">
        <v>2551027352</v>
      </c>
      <c r="H54" s="4" t="s">
        <v>194</v>
      </c>
      <c r="I54" s="4" t="s">
        <v>195</v>
      </c>
      <c r="J54" s="4" t="s">
        <v>196</v>
      </c>
      <c r="K54" s="4" t="s">
        <v>197</v>
      </c>
      <c r="L54" s="5">
        <v>68150</v>
      </c>
    </row>
    <row r="55" spans="1:12" ht="30" x14ac:dyDescent="0.25">
      <c r="A55" s="3" t="s">
        <v>12</v>
      </c>
      <c r="B55" s="4" t="s">
        <v>192</v>
      </c>
      <c r="C55" s="4" t="s">
        <v>25</v>
      </c>
      <c r="D55" s="4" t="s">
        <v>26</v>
      </c>
      <c r="E55" s="5" t="str">
        <f>"9110355"</f>
        <v>9110355</v>
      </c>
      <c r="F55" s="3" t="s">
        <v>198</v>
      </c>
      <c r="G55" s="5">
        <v>2551027732</v>
      </c>
      <c r="H55" s="4" t="s">
        <v>199</v>
      </c>
      <c r="I55" s="4" t="s">
        <v>195</v>
      </c>
      <c r="J55" s="4" t="s">
        <v>200</v>
      </c>
      <c r="K55" s="4" t="s">
        <v>201</v>
      </c>
      <c r="L55" s="5">
        <v>68131</v>
      </c>
    </row>
    <row r="56" spans="1:12" ht="30" x14ac:dyDescent="0.25">
      <c r="A56" s="3" t="s">
        <v>12</v>
      </c>
      <c r="B56" s="4" t="s">
        <v>192</v>
      </c>
      <c r="C56" s="4" t="s">
        <v>25</v>
      </c>
      <c r="D56" s="4" t="s">
        <v>26</v>
      </c>
      <c r="E56" s="5" t="str">
        <f>"9110005"</f>
        <v>9110005</v>
      </c>
      <c r="F56" s="3" t="s">
        <v>202</v>
      </c>
      <c r="G56" s="5">
        <v>2551026193</v>
      </c>
      <c r="H56" s="4" t="s">
        <v>203</v>
      </c>
      <c r="I56" s="4" t="s">
        <v>195</v>
      </c>
      <c r="J56" s="4" t="s">
        <v>195</v>
      </c>
      <c r="K56" s="4" t="s">
        <v>204</v>
      </c>
      <c r="L56" s="5">
        <v>68132</v>
      </c>
    </row>
    <row r="57" spans="1:12" ht="30" x14ac:dyDescent="0.25">
      <c r="A57" s="3" t="s">
        <v>12</v>
      </c>
      <c r="B57" s="4" t="s">
        <v>192</v>
      </c>
      <c r="C57" s="4" t="s">
        <v>25</v>
      </c>
      <c r="D57" s="4" t="s">
        <v>26</v>
      </c>
      <c r="E57" s="5" t="str">
        <f>"9110361"</f>
        <v>9110361</v>
      </c>
      <c r="F57" s="3" t="s">
        <v>205</v>
      </c>
      <c r="G57" s="5">
        <v>2551031692</v>
      </c>
      <c r="H57" s="4" t="s">
        <v>206</v>
      </c>
      <c r="I57" s="4" t="s">
        <v>195</v>
      </c>
      <c r="J57" s="4" t="s">
        <v>195</v>
      </c>
      <c r="K57" s="4" t="s">
        <v>207</v>
      </c>
      <c r="L57" s="5">
        <v>68132</v>
      </c>
    </row>
    <row r="58" spans="1:12" ht="30" x14ac:dyDescent="0.25">
      <c r="A58" s="3" t="s">
        <v>12</v>
      </c>
      <c r="B58" s="4" t="s">
        <v>192</v>
      </c>
      <c r="C58" s="4" t="s">
        <v>25</v>
      </c>
      <c r="D58" s="4" t="s">
        <v>26</v>
      </c>
      <c r="E58" s="5" t="str">
        <f>"9110335"</f>
        <v>9110335</v>
      </c>
      <c r="F58" s="3" t="s">
        <v>208</v>
      </c>
      <c r="G58" s="5">
        <v>2551026690</v>
      </c>
      <c r="H58" s="4" t="s">
        <v>209</v>
      </c>
      <c r="I58" s="4" t="s">
        <v>195</v>
      </c>
      <c r="J58" s="4" t="s">
        <v>195</v>
      </c>
      <c r="K58" s="4" t="s">
        <v>210</v>
      </c>
      <c r="L58" s="5">
        <v>68132</v>
      </c>
    </row>
    <row r="59" spans="1:12" ht="30" x14ac:dyDescent="0.25">
      <c r="A59" s="3" t="s">
        <v>12</v>
      </c>
      <c r="B59" s="4" t="s">
        <v>192</v>
      </c>
      <c r="C59" s="4" t="s">
        <v>14</v>
      </c>
      <c r="D59" s="4" t="s">
        <v>15</v>
      </c>
      <c r="E59" s="5" t="str">
        <f>"9110174"</f>
        <v>9110174</v>
      </c>
      <c r="F59" s="3" t="s">
        <v>211</v>
      </c>
      <c r="G59" s="5">
        <v>2556350300</v>
      </c>
      <c r="H59" s="4" t="s">
        <v>212</v>
      </c>
      <c r="I59" s="4" t="s">
        <v>213</v>
      </c>
      <c r="J59" s="4" t="s">
        <v>214</v>
      </c>
      <c r="K59" s="4" t="s">
        <v>215</v>
      </c>
      <c r="L59" s="5">
        <v>68007</v>
      </c>
    </row>
    <row r="60" spans="1:12" ht="30" x14ac:dyDescent="0.25">
      <c r="A60" s="3" t="s">
        <v>12</v>
      </c>
      <c r="B60" s="4" t="s">
        <v>192</v>
      </c>
      <c r="C60" s="4" t="s">
        <v>14</v>
      </c>
      <c r="D60" s="4" t="s">
        <v>15</v>
      </c>
      <c r="E60" s="5" t="str">
        <f>"9110213"</f>
        <v>9110213</v>
      </c>
      <c r="F60" s="3" t="s">
        <v>216</v>
      </c>
      <c r="G60" s="5">
        <v>2552350209</v>
      </c>
      <c r="H60" s="4" t="s">
        <v>217</v>
      </c>
      <c r="I60" s="4" t="s">
        <v>213</v>
      </c>
      <c r="J60" s="4" t="s">
        <v>218</v>
      </c>
      <c r="K60" s="4" t="s">
        <v>219</v>
      </c>
      <c r="L60" s="5">
        <v>68014</v>
      </c>
    </row>
    <row r="61" spans="1:12" ht="30" x14ac:dyDescent="0.25">
      <c r="A61" s="3" t="s">
        <v>12</v>
      </c>
      <c r="B61" s="4" t="s">
        <v>192</v>
      </c>
      <c r="C61" s="4" t="s">
        <v>14</v>
      </c>
      <c r="D61" s="4" t="s">
        <v>15</v>
      </c>
      <c r="E61" s="5" t="str">
        <f>"9110298"</f>
        <v>9110298</v>
      </c>
      <c r="F61" s="3" t="s">
        <v>220</v>
      </c>
      <c r="G61" s="5">
        <v>2552029233</v>
      </c>
      <c r="H61" s="4" t="s">
        <v>221</v>
      </c>
      <c r="I61" s="4" t="s">
        <v>213</v>
      </c>
      <c r="J61" s="4" t="s">
        <v>222</v>
      </c>
      <c r="K61" s="4" t="s">
        <v>223</v>
      </c>
      <c r="L61" s="5">
        <v>68200</v>
      </c>
    </row>
    <row r="62" spans="1:12" ht="30" x14ac:dyDescent="0.25">
      <c r="A62" s="3" t="s">
        <v>12</v>
      </c>
      <c r="B62" s="4" t="s">
        <v>192</v>
      </c>
      <c r="C62" s="4" t="s">
        <v>25</v>
      </c>
      <c r="D62" s="4" t="s">
        <v>26</v>
      </c>
      <c r="E62" s="5" t="str">
        <f>"9110155"</f>
        <v>9110155</v>
      </c>
      <c r="F62" s="3" t="s">
        <v>224</v>
      </c>
      <c r="G62" s="5">
        <v>2552024670</v>
      </c>
      <c r="H62" s="4" t="s">
        <v>225</v>
      </c>
      <c r="I62" s="4" t="s">
        <v>213</v>
      </c>
      <c r="J62" s="4" t="s">
        <v>226</v>
      </c>
      <c r="K62" s="4" t="s">
        <v>227</v>
      </c>
      <c r="L62" s="5">
        <v>68200</v>
      </c>
    </row>
    <row r="63" spans="1:12" ht="30" x14ac:dyDescent="0.25">
      <c r="A63" s="3" t="s">
        <v>12</v>
      </c>
      <c r="B63" s="4" t="s">
        <v>192</v>
      </c>
      <c r="C63" s="4" t="s">
        <v>14</v>
      </c>
      <c r="D63" s="4" t="s">
        <v>15</v>
      </c>
      <c r="E63" s="5" t="str">
        <f>"9110011"</f>
        <v>9110011</v>
      </c>
      <c r="F63" s="3" t="s">
        <v>228</v>
      </c>
      <c r="G63" s="5">
        <v>2551026454</v>
      </c>
      <c r="H63" s="4" t="s">
        <v>229</v>
      </c>
      <c r="I63" s="4" t="s">
        <v>195</v>
      </c>
      <c r="J63" s="4" t="s">
        <v>230</v>
      </c>
      <c r="K63" s="4" t="s">
        <v>231</v>
      </c>
      <c r="L63" s="5">
        <v>68131</v>
      </c>
    </row>
    <row r="64" spans="1:12" ht="30" x14ac:dyDescent="0.25">
      <c r="A64" s="3" t="s">
        <v>12</v>
      </c>
      <c r="B64" s="4" t="s">
        <v>192</v>
      </c>
      <c r="C64" s="4" t="s">
        <v>25</v>
      </c>
      <c r="D64" s="4" t="s">
        <v>26</v>
      </c>
      <c r="E64" s="5" t="str">
        <f>"9110153"</f>
        <v>9110153</v>
      </c>
      <c r="F64" s="3" t="s">
        <v>232</v>
      </c>
      <c r="G64" s="5">
        <v>2552029441</v>
      </c>
      <c r="H64" s="4" t="s">
        <v>233</v>
      </c>
      <c r="I64" s="4" t="s">
        <v>213</v>
      </c>
      <c r="J64" s="4" t="s">
        <v>222</v>
      </c>
      <c r="K64" s="4" t="s">
        <v>234</v>
      </c>
      <c r="L64" s="5">
        <v>68200</v>
      </c>
    </row>
    <row r="65" spans="1:12" ht="30" x14ac:dyDescent="0.25">
      <c r="A65" s="3" t="s">
        <v>12</v>
      </c>
      <c r="B65" s="4" t="s">
        <v>192</v>
      </c>
      <c r="C65" s="4" t="s">
        <v>25</v>
      </c>
      <c r="D65" s="4" t="s">
        <v>26</v>
      </c>
      <c r="E65" s="5" t="str">
        <f>"9110329"</f>
        <v>9110329</v>
      </c>
      <c r="F65" s="3" t="s">
        <v>235</v>
      </c>
      <c r="G65" s="5">
        <v>2551021440</v>
      </c>
      <c r="H65" s="4" t="s">
        <v>236</v>
      </c>
      <c r="I65" s="4" t="s">
        <v>195</v>
      </c>
      <c r="J65" s="4" t="s">
        <v>195</v>
      </c>
      <c r="K65" s="4" t="s">
        <v>237</v>
      </c>
      <c r="L65" s="5">
        <v>68133</v>
      </c>
    </row>
    <row r="66" spans="1:12" ht="30" x14ac:dyDescent="0.25">
      <c r="A66" s="3" t="s">
        <v>12</v>
      </c>
      <c r="B66" s="4" t="s">
        <v>192</v>
      </c>
      <c r="C66" s="4" t="s">
        <v>14</v>
      </c>
      <c r="D66" s="4" t="s">
        <v>179</v>
      </c>
      <c r="E66" s="5" t="str">
        <f>"9110150"</f>
        <v>9110150</v>
      </c>
      <c r="F66" s="3" t="s">
        <v>238</v>
      </c>
      <c r="G66" s="5">
        <v>2552092234</v>
      </c>
      <c r="H66" s="4" t="s">
        <v>239</v>
      </c>
      <c r="I66" s="4" t="s">
        <v>213</v>
      </c>
      <c r="J66" s="4"/>
      <c r="K66" s="4" t="s">
        <v>240</v>
      </c>
      <c r="L66" s="5">
        <v>68200</v>
      </c>
    </row>
    <row r="67" spans="1:12" ht="30" x14ac:dyDescent="0.25">
      <c r="A67" s="3" t="s">
        <v>12</v>
      </c>
      <c r="B67" s="4" t="s">
        <v>192</v>
      </c>
      <c r="C67" s="4" t="s">
        <v>25</v>
      </c>
      <c r="D67" s="4" t="s">
        <v>26</v>
      </c>
      <c r="E67" s="5" t="str">
        <f>"9110069"</f>
        <v>9110069</v>
      </c>
      <c r="F67" s="3" t="s">
        <v>241</v>
      </c>
      <c r="G67" s="5">
        <v>2553025150</v>
      </c>
      <c r="H67" s="4" t="s">
        <v>242</v>
      </c>
      <c r="I67" s="4" t="s">
        <v>243</v>
      </c>
      <c r="J67" s="4" t="s">
        <v>244</v>
      </c>
      <c r="K67" s="4" t="s">
        <v>245</v>
      </c>
      <c r="L67" s="5">
        <v>68300</v>
      </c>
    </row>
    <row r="68" spans="1:12" ht="30" x14ac:dyDescent="0.25">
      <c r="A68" s="3" t="s">
        <v>12</v>
      </c>
      <c r="B68" s="4" t="s">
        <v>192</v>
      </c>
      <c r="C68" s="4" t="s">
        <v>25</v>
      </c>
      <c r="D68" s="4" t="s">
        <v>26</v>
      </c>
      <c r="E68" s="5" t="str">
        <f>"9110309"</f>
        <v>9110309</v>
      </c>
      <c r="F68" s="3" t="s">
        <v>246</v>
      </c>
      <c r="G68" s="5">
        <v>2553022932</v>
      </c>
      <c r="H68" s="4" t="s">
        <v>247</v>
      </c>
      <c r="I68" s="4" t="s">
        <v>243</v>
      </c>
      <c r="J68" s="4" t="s">
        <v>243</v>
      </c>
      <c r="K68" s="4" t="s">
        <v>248</v>
      </c>
      <c r="L68" s="5">
        <v>68300</v>
      </c>
    </row>
    <row r="69" spans="1:12" ht="30" x14ac:dyDescent="0.25">
      <c r="A69" s="3" t="s">
        <v>12</v>
      </c>
      <c r="B69" s="4" t="s">
        <v>192</v>
      </c>
      <c r="C69" s="4" t="s">
        <v>25</v>
      </c>
      <c r="D69" s="4" t="s">
        <v>26</v>
      </c>
      <c r="E69" s="5" t="str">
        <f>"9110312"</f>
        <v>9110312</v>
      </c>
      <c r="F69" s="3" t="s">
        <v>249</v>
      </c>
      <c r="G69" s="5">
        <v>2551024706</v>
      </c>
      <c r="H69" s="4" t="s">
        <v>250</v>
      </c>
      <c r="I69" s="4" t="s">
        <v>195</v>
      </c>
      <c r="J69" s="4" t="s">
        <v>195</v>
      </c>
      <c r="K69" s="4" t="s">
        <v>251</v>
      </c>
      <c r="L69" s="5">
        <v>68131</v>
      </c>
    </row>
    <row r="70" spans="1:12" ht="30" x14ac:dyDescent="0.25">
      <c r="A70" s="3" t="s">
        <v>12</v>
      </c>
      <c r="B70" s="4" t="s">
        <v>192</v>
      </c>
      <c r="C70" s="4" t="s">
        <v>25</v>
      </c>
      <c r="D70" s="4" t="s">
        <v>26</v>
      </c>
      <c r="E70" s="5" t="str">
        <f>"9110346"</f>
        <v>9110346</v>
      </c>
      <c r="F70" s="3" t="s">
        <v>252</v>
      </c>
      <c r="G70" s="5">
        <v>2553025544</v>
      </c>
      <c r="H70" s="4" t="s">
        <v>253</v>
      </c>
      <c r="I70" s="4" t="s">
        <v>243</v>
      </c>
      <c r="J70" s="4" t="s">
        <v>243</v>
      </c>
      <c r="K70" s="4" t="s">
        <v>254</v>
      </c>
      <c r="L70" s="5">
        <v>68300</v>
      </c>
    </row>
    <row r="71" spans="1:12" ht="30" x14ac:dyDescent="0.25">
      <c r="A71" s="3" t="s">
        <v>12</v>
      </c>
      <c r="B71" s="4" t="s">
        <v>192</v>
      </c>
      <c r="C71" s="4" t="s">
        <v>14</v>
      </c>
      <c r="D71" s="4" t="s">
        <v>15</v>
      </c>
      <c r="E71" s="5" t="str">
        <f>"9110319"</f>
        <v>9110319</v>
      </c>
      <c r="F71" s="3" t="s">
        <v>255</v>
      </c>
      <c r="G71" s="5">
        <v>2551021424</v>
      </c>
      <c r="H71" s="4" t="s">
        <v>256</v>
      </c>
      <c r="I71" s="4" t="s">
        <v>195</v>
      </c>
      <c r="J71" s="4" t="s">
        <v>230</v>
      </c>
      <c r="K71" s="4" t="s">
        <v>257</v>
      </c>
      <c r="L71" s="5">
        <v>68133</v>
      </c>
    </row>
    <row r="72" spans="1:12" ht="30" x14ac:dyDescent="0.25">
      <c r="A72" s="3" t="s">
        <v>12</v>
      </c>
      <c r="B72" s="4" t="s">
        <v>192</v>
      </c>
      <c r="C72" s="4" t="s">
        <v>25</v>
      </c>
      <c r="D72" s="4" t="s">
        <v>26</v>
      </c>
      <c r="E72" s="5" t="str">
        <f>"9110358"</f>
        <v>9110358</v>
      </c>
      <c r="F72" s="3" t="s">
        <v>258</v>
      </c>
      <c r="G72" s="5">
        <v>2552024442</v>
      </c>
      <c r="H72" s="4" t="s">
        <v>259</v>
      </c>
      <c r="I72" s="4" t="s">
        <v>213</v>
      </c>
      <c r="J72" s="4" t="s">
        <v>226</v>
      </c>
      <c r="K72" s="4" t="s">
        <v>260</v>
      </c>
      <c r="L72" s="5">
        <v>68200</v>
      </c>
    </row>
    <row r="73" spans="1:12" ht="30" x14ac:dyDescent="0.25">
      <c r="A73" s="3" t="s">
        <v>12</v>
      </c>
      <c r="B73" s="4" t="s">
        <v>192</v>
      </c>
      <c r="C73" s="4" t="s">
        <v>25</v>
      </c>
      <c r="D73" s="4" t="s">
        <v>26</v>
      </c>
      <c r="E73" s="5" t="str">
        <f>"9110369"</f>
        <v>9110369</v>
      </c>
      <c r="F73" s="3" t="s">
        <v>261</v>
      </c>
      <c r="G73" s="5">
        <v>2551033722</v>
      </c>
      <c r="H73" s="4" t="s">
        <v>262</v>
      </c>
      <c r="I73" s="4" t="s">
        <v>195</v>
      </c>
      <c r="J73" s="4" t="s">
        <v>195</v>
      </c>
      <c r="K73" s="4" t="s">
        <v>263</v>
      </c>
      <c r="L73" s="5">
        <v>68131</v>
      </c>
    </row>
    <row r="74" spans="1:12" ht="30" x14ac:dyDescent="0.25">
      <c r="A74" s="3" t="s">
        <v>12</v>
      </c>
      <c r="B74" s="4" t="s">
        <v>192</v>
      </c>
      <c r="C74" s="4" t="s">
        <v>14</v>
      </c>
      <c r="D74" s="4" t="s">
        <v>15</v>
      </c>
      <c r="E74" s="5" t="str">
        <f>"9110151"</f>
        <v>9110151</v>
      </c>
      <c r="F74" s="3" t="s">
        <v>264</v>
      </c>
      <c r="G74" s="5">
        <v>2552022284</v>
      </c>
      <c r="H74" s="4" t="s">
        <v>265</v>
      </c>
      <c r="I74" s="4" t="s">
        <v>213</v>
      </c>
      <c r="J74" s="4" t="s">
        <v>266</v>
      </c>
      <c r="K74" s="4" t="s">
        <v>267</v>
      </c>
      <c r="L74" s="5">
        <v>68200</v>
      </c>
    </row>
    <row r="75" spans="1:12" ht="30" x14ac:dyDescent="0.25">
      <c r="A75" s="3" t="s">
        <v>12</v>
      </c>
      <c r="B75" s="4" t="s">
        <v>192</v>
      </c>
      <c r="C75" s="4" t="s">
        <v>25</v>
      </c>
      <c r="D75" s="4" t="s">
        <v>26</v>
      </c>
      <c r="E75" s="5" t="str">
        <f>"9110285"</f>
        <v>9110285</v>
      </c>
      <c r="F75" s="3" t="s">
        <v>268</v>
      </c>
      <c r="G75" s="5">
        <v>2551025185</v>
      </c>
      <c r="H75" s="4" t="s">
        <v>269</v>
      </c>
      <c r="I75" s="4" t="s">
        <v>195</v>
      </c>
      <c r="J75" s="4" t="s">
        <v>195</v>
      </c>
      <c r="K75" s="4" t="s">
        <v>270</v>
      </c>
      <c r="L75" s="5">
        <v>68132</v>
      </c>
    </row>
    <row r="76" spans="1:12" ht="30" x14ac:dyDescent="0.25">
      <c r="A76" s="3" t="s">
        <v>12</v>
      </c>
      <c r="B76" s="4" t="s">
        <v>192</v>
      </c>
      <c r="C76" s="4" t="s">
        <v>14</v>
      </c>
      <c r="D76" s="4" t="s">
        <v>15</v>
      </c>
      <c r="E76" s="5" t="str">
        <f>"9110166"</f>
        <v>9110166</v>
      </c>
      <c r="F76" s="3" t="s">
        <v>271</v>
      </c>
      <c r="G76" s="5">
        <v>2552024413</v>
      </c>
      <c r="H76" s="4" t="s">
        <v>272</v>
      </c>
      <c r="I76" s="4" t="s">
        <v>213</v>
      </c>
      <c r="J76" s="4" t="s">
        <v>273</v>
      </c>
      <c r="K76" s="4" t="s">
        <v>274</v>
      </c>
      <c r="L76" s="5">
        <v>68200</v>
      </c>
    </row>
    <row r="77" spans="1:12" ht="30" x14ac:dyDescent="0.25">
      <c r="A77" s="3" t="s">
        <v>12</v>
      </c>
      <c r="B77" s="4" t="s">
        <v>192</v>
      </c>
      <c r="C77" s="4" t="s">
        <v>14</v>
      </c>
      <c r="D77" s="4" t="s">
        <v>15</v>
      </c>
      <c r="E77" s="5" t="str">
        <f>"9110378"</f>
        <v>9110378</v>
      </c>
      <c r="F77" s="3" t="s">
        <v>275</v>
      </c>
      <c r="G77" s="5">
        <v>2551097331</v>
      </c>
      <c r="H77" s="4" t="s">
        <v>276</v>
      </c>
      <c r="I77" s="4" t="s">
        <v>195</v>
      </c>
      <c r="J77" s="4" t="s">
        <v>277</v>
      </c>
      <c r="K77" s="4" t="s">
        <v>278</v>
      </c>
      <c r="L77" s="5">
        <v>68150</v>
      </c>
    </row>
    <row r="78" spans="1:12" ht="30" x14ac:dyDescent="0.25">
      <c r="A78" s="3" t="s">
        <v>12</v>
      </c>
      <c r="B78" s="4" t="s">
        <v>192</v>
      </c>
      <c r="C78" s="4" t="s">
        <v>25</v>
      </c>
      <c r="D78" s="4" t="s">
        <v>26</v>
      </c>
      <c r="E78" s="5" t="str">
        <f>"9110152"</f>
        <v>9110152</v>
      </c>
      <c r="F78" s="3" t="s">
        <v>279</v>
      </c>
      <c r="G78" s="5">
        <v>2552024550</v>
      </c>
      <c r="H78" s="4" t="s">
        <v>280</v>
      </c>
      <c r="I78" s="4" t="s">
        <v>213</v>
      </c>
      <c r="J78" s="4" t="s">
        <v>226</v>
      </c>
      <c r="K78" s="4" t="s">
        <v>281</v>
      </c>
      <c r="L78" s="5">
        <v>68200</v>
      </c>
    </row>
    <row r="79" spans="1:12" ht="30" x14ac:dyDescent="0.25">
      <c r="A79" s="3" t="s">
        <v>12</v>
      </c>
      <c r="B79" s="4" t="s">
        <v>192</v>
      </c>
      <c r="C79" s="4" t="s">
        <v>14</v>
      </c>
      <c r="D79" s="4" t="s">
        <v>15</v>
      </c>
      <c r="E79" s="5" t="str">
        <f>"9110197"</f>
        <v>9110197</v>
      </c>
      <c r="F79" s="3" t="s">
        <v>282</v>
      </c>
      <c r="G79" s="5">
        <v>2552071202</v>
      </c>
      <c r="H79" s="4" t="s">
        <v>283</v>
      </c>
      <c r="I79" s="4" t="s">
        <v>213</v>
      </c>
      <c r="J79" s="4" t="s">
        <v>284</v>
      </c>
      <c r="K79" s="4" t="s">
        <v>282</v>
      </c>
      <c r="L79" s="5">
        <v>68200</v>
      </c>
    </row>
    <row r="80" spans="1:12" ht="30" x14ac:dyDescent="0.25">
      <c r="A80" s="3" t="s">
        <v>12</v>
      </c>
      <c r="B80" s="4" t="s">
        <v>192</v>
      </c>
      <c r="C80" s="4" t="s">
        <v>14</v>
      </c>
      <c r="D80" s="4" t="s">
        <v>15</v>
      </c>
      <c r="E80" s="5" t="str">
        <f>"9110010"</f>
        <v>9110010</v>
      </c>
      <c r="F80" s="3" t="s">
        <v>285</v>
      </c>
      <c r="G80" s="5">
        <v>2551026320</v>
      </c>
      <c r="H80" s="4" t="s">
        <v>286</v>
      </c>
      <c r="I80" s="4" t="s">
        <v>195</v>
      </c>
      <c r="J80" s="4" t="s">
        <v>230</v>
      </c>
      <c r="K80" s="4" t="s">
        <v>287</v>
      </c>
      <c r="L80" s="5">
        <v>68132</v>
      </c>
    </row>
    <row r="81" spans="1:12" ht="30" x14ac:dyDescent="0.25">
      <c r="A81" s="3" t="s">
        <v>12</v>
      </c>
      <c r="B81" s="4" t="s">
        <v>192</v>
      </c>
      <c r="C81" s="4" t="s">
        <v>25</v>
      </c>
      <c r="D81" s="4" t="s">
        <v>26</v>
      </c>
      <c r="E81" s="5" t="str">
        <f>"9110223"</f>
        <v>9110223</v>
      </c>
      <c r="F81" s="3" t="s">
        <v>288</v>
      </c>
      <c r="G81" s="5">
        <v>2554022962</v>
      </c>
      <c r="H81" s="4" t="s">
        <v>289</v>
      </c>
      <c r="I81" s="4" t="s">
        <v>290</v>
      </c>
      <c r="J81" s="4" t="s">
        <v>291</v>
      </c>
      <c r="K81" s="4" t="s">
        <v>292</v>
      </c>
      <c r="L81" s="5">
        <v>68400</v>
      </c>
    </row>
    <row r="82" spans="1:12" ht="30" x14ac:dyDescent="0.25">
      <c r="A82" s="3" t="s">
        <v>12</v>
      </c>
      <c r="B82" s="4" t="s">
        <v>192</v>
      </c>
      <c r="C82" s="4" t="s">
        <v>14</v>
      </c>
      <c r="D82" s="4" t="s">
        <v>15</v>
      </c>
      <c r="E82" s="5" t="str">
        <f>"9110156"</f>
        <v>9110156</v>
      </c>
      <c r="F82" s="3" t="s">
        <v>293</v>
      </c>
      <c r="G82" s="5">
        <v>2552022345</v>
      </c>
      <c r="H82" s="4" t="s">
        <v>294</v>
      </c>
      <c r="I82" s="4" t="s">
        <v>213</v>
      </c>
      <c r="J82" s="4" t="s">
        <v>222</v>
      </c>
      <c r="K82" s="4" t="s">
        <v>227</v>
      </c>
      <c r="L82" s="5">
        <v>68200</v>
      </c>
    </row>
    <row r="83" spans="1:12" ht="30" x14ac:dyDescent="0.25">
      <c r="A83" s="3" t="s">
        <v>12</v>
      </c>
      <c r="B83" s="4" t="s">
        <v>192</v>
      </c>
      <c r="C83" s="4" t="s">
        <v>25</v>
      </c>
      <c r="D83" s="4" t="s">
        <v>26</v>
      </c>
      <c r="E83" s="5" t="str">
        <f>"9110323"</f>
        <v>9110323</v>
      </c>
      <c r="F83" s="3" t="s">
        <v>295</v>
      </c>
      <c r="G83" s="5">
        <v>2555022879</v>
      </c>
      <c r="H83" s="4" t="s">
        <v>296</v>
      </c>
      <c r="I83" s="4" t="s">
        <v>195</v>
      </c>
      <c r="J83" s="4" t="s">
        <v>297</v>
      </c>
      <c r="K83" s="4" t="s">
        <v>298</v>
      </c>
      <c r="L83" s="5">
        <v>68500</v>
      </c>
    </row>
    <row r="84" spans="1:12" ht="30" x14ac:dyDescent="0.25">
      <c r="A84" s="3" t="s">
        <v>12</v>
      </c>
      <c r="B84" s="4" t="s">
        <v>192</v>
      </c>
      <c r="C84" s="4" t="s">
        <v>14</v>
      </c>
      <c r="D84" s="4" t="s">
        <v>15</v>
      </c>
      <c r="E84" s="5" t="str">
        <f>"9110154"</f>
        <v>9110154</v>
      </c>
      <c r="F84" s="3" t="s">
        <v>299</v>
      </c>
      <c r="G84" s="5">
        <v>2552022593</v>
      </c>
      <c r="H84" s="4" t="s">
        <v>300</v>
      </c>
      <c r="I84" s="4" t="s">
        <v>213</v>
      </c>
      <c r="J84" s="4" t="s">
        <v>301</v>
      </c>
      <c r="K84" s="4" t="s">
        <v>302</v>
      </c>
      <c r="L84" s="5">
        <v>68200</v>
      </c>
    </row>
    <row r="85" spans="1:12" ht="30" x14ac:dyDescent="0.25">
      <c r="A85" s="3" t="s">
        <v>12</v>
      </c>
      <c r="B85" s="4" t="s">
        <v>192</v>
      </c>
      <c r="C85" s="4" t="s">
        <v>25</v>
      </c>
      <c r="D85" s="4" t="s">
        <v>26</v>
      </c>
      <c r="E85" s="5" t="str">
        <f>"9110240"</f>
        <v>9110240</v>
      </c>
      <c r="F85" s="3" t="s">
        <v>303</v>
      </c>
      <c r="G85" s="5">
        <v>2554041388</v>
      </c>
      <c r="H85" s="4" t="s">
        <v>304</v>
      </c>
      <c r="I85" s="4" t="s">
        <v>290</v>
      </c>
      <c r="J85" s="4" t="s">
        <v>305</v>
      </c>
      <c r="K85" s="4" t="s">
        <v>306</v>
      </c>
      <c r="L85" s="5">
        <v>68003</v>
      </c>
    </row>
    <row r="86" spans="1:12" ht="30" x14ac:dyDescent="0.25">
      <c r="A86" s="3" t="s">
        <v>12</v>
      </c>
      <c r="B86" s="4" t="s">
        <v>192</v>
      </c>
      <c r="C86" s="4" t="s">
        <v>25</v>
      </c>
      <c r="D86" s="4" t="s">
        <v>26</v>
      </c>
      <c r="E86" s="5" t="str">
        <f>"9110164"</f>
        <v>9110164</v>
      </c>
      <c r="F86" s="3" t="s">
        <v>307</v>
      </c>
      <c r="G86" s="5">
        <v>2552024710</v>
      </c>
      <c r="H86" s="4" t="s">
        <v>308</v>
      </c>
      <c r="I86" s="4" t="s">
        <v>213</v>
      </c>
      <c r="J86" s="4" t="s">
        <v>222</v>
      </c>
      <c r="K86" s="4" t="s">
        <v>309</v>
      </c>
      <c r="L86" s="5">
        <v>68200</v>
      </c>
    </row>
    <row r="87" spans="1:12" ht="30" x14ac:dyDescent="0.25">
      <c r="A87" s="3" t="s">
        <v>12</v>
      </c>
      <c r="B87" s="4" t="s">
        <v>192</v>
      </c>
      <c r="C87" s="4" t="s">
        <v>14</v>
      </c>
      <c r="D87" s="4" t="s">
        <v>15</v>
      </c>
      <c r="E87" s="5" t="str">
        <f>"9110158"</f>
        <v>9110158</v>
      </c>
      <c r="F87" s="3" t="s">
        <v>310</v>
      </c>
      <c r="G87" s="5">
        <v>2552022592</v>
      </c>
      <c r="H87" s="4" t="s">
        <v>311</v>
      </c>
      <c r="I87" s="4" t="s">
        <v>213</v>
      </c>
      <c r="J87" s="4" t="s">
        <v>301</v>
      </c>
      <c r="K87" s="4" t="s">
        <v>312</v>
      </c>
      <c r="L87" s="5">
        <v>68200</v>
      </c>
    </row>
    <row r="88" spans="1:12" ht="30" x14ac:dyDescent="0.25">
      <c r="A88" s="3" t="s">
        <v>12</v>
      </c>
      <c r="B88" s="4" t="s">
        <v>192</v>
      </c>
      <c r="C88" s="4" t="s">
        <v>14</v>
      </c>
      <c r="D88" s="4" t="s">
        <v>15</v>
      </c>
      <c r="E88" s="5" t="str">
        <f>"9110354"</f>
        <v>9110354</v>
      </c>
      <c r="F88" s="3" t="s">
        <v>313</v>
      </c>
      <c r="G88" s="5">
        <v>2553025015</v>
      </c>
      <c r="H88" s="4" t="s">
        <v>314</v>
      </c>
      <c r="I88" s="4" t="s">
        <v>243</v>
      </c>
      <c r="J88" s="4" t="s">
        <v>244</v>
      </c>
      <c r="K88" s="4" t="s">
        <v>315</v>
      </c>
      <c r="L88" s="5">
        <v>68300</v>
      </c>
    </row>
    <row r="89" spans="1:12" ht="30" x14ac:dyDescent="0.25">
      <c r="A89" s="3" t="s">
        <v>12</v>
      </c>
      <c r="B89" s="4" t="s">
        <v>192</v>
      </c>
      <c r="C89" s="4" t="s">
        <v>14</v>
      </c>
      <c r="D89" s="4" t="s">
        <v>15</v>
      </c>
      <c r="E89" s="5" t="str">
        <f>"9110064"</f>
        <v>9110064</v>
      </c>
      <c r="F89" s="3" t="s">
        <v>316</v>
      </c>
      <c r="G89" s="5">
        <v>2553022293</v>
      </c>
      <c r="H89" s="4" t="s">
        <v>317</v>
      </c>
      <c r="I89" s="4" t="s">
        <v>243</v>
      </c>
      <c r="J89" s="4" t="s">
        <v>244</v>
      </c>
      <c r="K89" s="4" t="s">
        <v>318</v>
      </c>
      <c r="L89" s="5">
        <v>68300</v>
      </c>
    </row>
    <row r="90" spans="1:12" ht="30" x14ac:dyDescent="0.25">
      <c r="A90" s="3" t="s">
        <v>12</v>
      </c>
      <c r="B90" s="4" t="s">
        <v>192</v>
      </c>
      <c r="C90" s="4" t="s">
        <v>14</v>
      </c>
      <c r="D90" s="4" t="s">
        <v>15</v>
      </c>
      <c r="E90" s="5" t="str">
        <f>"9110068"</f>
        <v>9110068</v>
      </c>
      <c r="F90" s="3" t="s">
        <v>319</v>
      </c>
      <c r="G90" s="5">
        <v>2553023209</v>
      </c>
      <c r="H90" s="4" t="s">
        <v>320</v>
      </c>
      <c r="I90" s="4" t="s">
        <v>243</v>
      </c>
      <c r="J90" s="4" t="s">
        <v>244</v>
      </c>
      <c r="K90" s="4" t="s">
        <v>321</v>
      </c>
      <c r="L90" s="5">
        <v>68300</v>
      </c>
    </row>
    <row r="91" spans="1:12" ht="30" x14ac:dyDescent="0.25">
      <c r="A91" s="3" t="s">
        <v>12</v>
      </c>
      <c r="B91" s="4" t="s">
        <v>192</v>
      </c>
      <c r="C91" s="4" t="s">
        <v>25</v>
      </c>
      <c r="D91" s="4" t="s">
        <v>26</v>
      </c>
      <c r="E91" s="5" t="str">
        <f>"9110340"</f>
        <v>9110340</v>
      </c>
      <c r="F91" s="3" t="s">
        <v>322</v>
      </c>
      <c r="G91" s="5">
        <v>2552350219</v>
      </c>
      <c r="H91" s="4" t="s">
        <v>323</v>
      </c>
      <c r="I91" s="4" t="s">
        <v>213</v>
      </c>
      <c r="J91" s="4" t="s">
        <v>226</v>
      </c>
      <c r="K91" s="4" t="s">
        <v>324</v>
      </c>
      <c r="L91" s="5">
        <v>68200</v>
      </c>
    </row>
    <row r="92" spans="1:12" ht="30" x14ac:dyDescent="0.25">
      <c r="A92" s="3" t="s">
        <v>12</v>
      </c>
      <c r="B92" s="4" t="s">
        <v>192</v>
      </c>
      <c r="C92" s="4" t="s">
        <v>14</v>
      </c>
      <c r="D92" s="4" t="s">
        <v>15</v>
      </c>
      <c r="E92" s="5" t="str">
        <f>"9110161"</f>
        <v>9110161</v>
      </c>
      <c r="F92" s="3" t="s">
        <v>325</v>
      </c>
      <c r="G92" s="5">
        <v>2552022240</v>
      </c>
      <c r="H92" s="4" t="s">
        <v>326</v>
      </c>
      <c r="I92" s="4" t="s">
        <v>213</v>
      </c>
      <c r="J92" s="4" t="s">
        <v>222</v>
      </c>
      <c r="K92" s="4" t="s">
        <v>327</v>
      </c>
      <c r="L92" s="5">
        <v>68200</v>
      </c>
    </row>
    <row r="93" spans="1:12" ht="30" x14ac:dyDescent="0.25">
      <c r="A93" s="3" t="s">
        <v>12</v>
      </c>
      <c r="B93" s="4" t="s">
        <v>192</v>
      </c>
      <c r="C93" s="4" t="s">
        <v>25</v>
      </c>
      <c r="D93" s="4" t="s">
        <v>26</v>
      </c>
      <c r="E93" s="5" t="str">
        <f>"9110253"</f>
        <v>9110253</v>
      </c>
      <c r="F93" s="3" t="s">
        <v>328</v>
      </c>
      <c r="G93" s="5">
        <v>2553020505</v>
      </c>
      <c r="H93" s="4" t="s">
        <v>329</v>
      </c>
      <c r="I93" s="4" t="s">
        <v>290</v>
      </c>
      <c r="J93" s="4" t="s">
        <v>330</v>
      </c>
      <c r="K93" s="4" t="s">
        <v>331</v>
      </c>
      <c r="L93" s="5">
        <v>68004</v>
      </c>
    </row>
    <row r="94" spans="1:12" ht="30" x14ac:dyDescent="0.25">
      <c r="A94" s="3" t="s">
        <v>12</v>
      </c>
      <c r="B94" s="4" t="s">
        <v>192</v>
      </c>
      <c r="C94" s="4" t="s">
        <v>14</v>
      </c>
      <c r="D94" s="4" t="s">
        <v>179</v>
      </c>
      <c r="E94" s="5" t="str">
        <f>"9110099"</f>
        <v>9110099</v>
      </c>
      <c r="F94" s="3" t="s">
        <v>332</v>
      </c>
      <c r="G94" s="5">
        <v>2553031290</v>
      </c>
      <c r="H94" s="4" t="s">
        <v>333</v>
      </c>
      <c r="I94" s="4" t="s">
        <v>290</v>
      </c>
      <c r="J94" s="4" t="s">
        <v>334</v>
      </c>
      <c r="K94" s="4" t="s">
        <v>331</v>
      </c>
      <c r="L94" s="5">
        <v>68004</v>
      </c>
    </row>
    <row r="95" spans="1:12" ht="30" x14ac:dyDescent="0.25">
      <c r="A95" s="3" t="s">
        <v>12</v>
      </c>
      <c r="B95" s="4" t="s">
        <v>192</v>
      </c>
      <c r="C95" s="4" t="s">
        <v>14</v>
      </c>
      <c r="D95" s="4" t="s">
        <v>15</v>
      </c>
      <c r="E95" s="5" t="str">
        <f>"9110012"</f>
        <v>9110012</v>
      </c>
      <c r="F95" s="3" t="s">
        <v>335</v>
      </c>
      <c r="G95" s="5">
        <v>2551036483</v>
      </c>
      <c r="H95" s="4" t="s">
        <v>336</v>
      </c>
      <c r="I95" s="4" t="s">
        <v>195</v>
      </c>
      <c r="J95" s="4" t="s">
        <v>230</v>
      </c>
      <c r="K95" s="4" t="s">
        <v>337</v>
      </c>
      <c r="L95" s="5">
        <v>68132</v>
      </c>
    </row>
    <row r="96" spans="1:12" ht="30" x14ac:dyDescent="0.25">
      <c r="A96" s="3" t="s">
        <v>12</v>
      </c>
      <c r="B96" s="4" t="s">
        <v>192</v>
      </c>
      <c r="C96" s="4" t="s">
        <v>14</v>
      </c>
      <c r="D96" s="4" t="s">
        <v>15</v>
      </c>
      <c r="E96" s="5" t="str">
        <f>"9110066"</f>
        <v>9110066</v>
      </c>
      <c r="F96" s="3" t="s">
        <v>338</v>
      </c>
      <c r="G96" s="5">
        <v>2553022291</v>
      </c>
      <c r="H96" s="4" t="s">
        <v>339</v>
      </c>
      <c r="I96" s="4" t="s">
        <v>243</v>
      </c>
      <c r="J96" s="4" t="s">
        <v>340</v>
      </c>
      <c r="K96" s="4" t="s">
        <v>341</v>
      </c>
      <c r="L96" s="5">
        <v>68300</v>
      </c>
    </row>
    <row r="97" spans="1:12" ht="30" x14ac:dyDescent="0.25">
      <c r="A97" s="3" t="s">
        <v>12</v>
      </c>
      <c r="B97" s="4" t="s">
        <v>192</v>
      </c>
      <c r="C97" s="4" t="s">
        <v>25</v>
      </c>
      <c r="D97" s="4" t="s">
        <v>26</v>
      </c>
      <c r="E97" s="5" t="str">
        <f>"9110015"</f>
        <v>9110015</v>
      </c>
      <c r="F97" s="3" t="s">
        <v>342</v>
      </c>
      <c r="G97" s="5">
        <v>2551022507</v>
      </c>
      <c r="H97" s="4" t="s">
        <v>343</v>
      </c>
      <c r="I97" s="4" t="s">
        <v>195</v>
      </c>
      <c r="J97" s="4" t="s">
        <v>195</v>
      </c>
      <c r="K97" s="4" t="s">
        <v>344</v>
      </c>
      <c r="L97" s="5">
        <v>68132</v>
      </c>
    </row>
    <row r="98" spans="1:12" ht="30" x14ac:dyDescent="0.25">
      <c r="A98" s="3" t="s">
        <v>12</v>
      </c>
      <c r="B98" s="4" t="s">
        <v>192</v>
      </c>
      <c r="C98" s="4" t="s">
        <v>14</v>
      </c>
      <c r="D98" s="4" t="s">
        <v>345</v>
      </c>
      <c r="E98" s="5" t="str">
        <f>"9110259"</f>
        <v>9110259</v>
      </c>
      <c r="F98" s="3" t="s">
        <v>346</v>
      </c>
      <c r="G98" s="5">
        <v>2551028864</v>
      </c>
      <c r="H98" s="4" t="s">
        <v>347</v>
      </c>
      <c r="I98" s="4" t="s">
        <v>195</v>
      </c>
      <c r="J98" s="4" t="s">
        <v>195</v>
      </c>
      <c r="K98" s="4" t="s">
        <v>348</v>
      </c>
      <c r="L98" s="5">
        <v>68131</v>
      </c>
    </row>
    <row r="99" spans="1:12" ht="30" x14ac:dyDescent="0.25">
      <c r="A99" s="3" t="s">
        <v>12</v>
      </c>
      <c r="B99" s="4" t="s">
        <v>192</v>
      </c>
      <c r="C99" s="4" t="s">
        <v>25</v>
      </c>
      <c r="D99" s="4" t="s">
        <v>26</v>
      </c>
      <c r="E99" s="5" t="str">
        <f>"9110007"</f>
        <v>9110007</v>
      </c>
      <c r="F99" s="3" t="s">
        <v>349</v>
      </c>
      <c r="G99" s="5">
        <v>2551037794</v>
      </c>
      <c r="H99" s="4" t="s">
        <v>350</v>
      </c>
      <c r="I99" s="4" t="s">
        <v>195</v>
      </c>
      <c r="J99" s="4" t="s">
        <v>230</v>
      </c>
      <c r="K99" s="4" t="s">
        <v>351</v>
      </c>
      <c r="L99" s="5">
        <v>68132</v>
      </c>
    </row>
    <row r="100" spans="1:12" ht="30" x14ac:dyDescent="0.25">
      <c r="A100" s="3" t="s">
        <v>12</v>
      </c>
      <c r="B100" s="4" t="s">
        <v>192</v>
      </c>
      <c r="C100" s="4" t="s">
        <v>14</v>
      </c>
      <c r="D100" s="4" t="s">
        <v>15</v>
      </c>
      <c r="E100" s="5" t="str">
        <f>"9110018"</f>
        <v>9110018</v>
      </c>
      <c r="F100" s="3" t="s">
        <v>352</v>
      </c>
      <c r="G100" s="5">
        <v>2551039625</v>
      </c>
      <c r="H100" s="4" t="s">
        <v>353</v>
      </c>
      <c r="I100" s="4" t="s">
        <v>195</v>
      </c>
      <c r="J100" s="4" t="s">
        <v>354</v>
      </c>
      <c r="K100" s="4" t="s">
        <v>355</v>
      </c>
      <c r="L100" s="5">
        <v>68131</v>
      </c>
    </row>
    <row r="101" spans="1:12" ht="30" x14ac:dyDescent="0.25">
      <c r="A101" s="3" t="s">
        <v>12</v>
      </c>
      <c r="B101" s="4" t="s">
        <v>192</v>
      </c>
      <c r="C101" s="4" t="s">
        <v>25</v>
      </c>
      <c r="D101" s="4" t="s">
        <v>26</v>
      </c>
      <c r="E101" s="5" t="str">
        <f>"9110321"</f>
        <v>9110321</v>
      </c>
      <c r="F101" s="3" t="s">
        <v>356</v>
      </c>
      <c r="G101" s="5">
        <v>2551039573</v>
      </c>
      <c r="H101" s="4" t="s">
        <v>357</v>
      </c>
      <c r="I101" s="4" t="s">
        <v>195</v>
      </c>
      <c r="J101" s="4" t="s">
        <v>358</v>
      </c>
      <c r="K101" s="4" t="s">
        <v>359</v>
      </c>
      <c r="L101" s="5">
        <v>68131</v>
      </c>
    </row>
    <row r="102" spans="1:12" ht="30" x14ac:dyDescent="0.25">
      <c r="A102" s="3" t="s">
        <v>12</v>
      </c>
      <c r="B102" s="4" t="s">
        <v>192</v>
      </c>
      <c r="C102" s="4" t="s">
        <v>25</v>
      </c>
      <c r="D102" s="4" t="s">
        <v>26</v>
      </c>
      <c r="E102" s="5" t="str">
        <f>"9110304"</f>
        <v>9110304</v>
      </c>
      <c r="F102" s="3" t="s">
        <v>360</v>
      </c>
      <c r="G102" s="5">
        <v>2551045219</v>
      </c>
      <c r="H102" s="4" t="s">
        <v>361</v>
      </c>
      <c r="I102" s="4" t="s">
        <v>195</v>
      </c>
      <c r="J102" s="4" t="s">
        <v>362</v>
      </c>
      <c r="K102" s="4" t="s">
        <v>363</v>
      </c>
      <c r="L102" s="5">
        <v>68100</v>
      </c>
    </row>
    <row r="103" spans="1:12" ht="30" x14ac:dyDescent="0.25">
      <c r="A103" s="3" t="s">
        <v>12</v>
      </c>
      <c r="B103" s="4" t="s">
        <v>192</v>
      </c>
      <c r="C103" s="4" t="s">
        <v>25</v>
      </c>
      <c r="D103" s="4" t="s">
        <v>26</v>
      </c>
      <c r="E103" s="5" t="str">
        <f>"9110286"</f>
        <v>9110286</v>
      </c>
      <c r="F103" s="3" t="s">
        <v>364</v>
      </c>
      <c r="G103" s="5">
        <v>2551028451</v>
      </c>
      <c r="H103" s="4" t="s">
        <v>365</v>
      </c>
      <c r="I103" s="4" t="s">
        <v>195</v>
      </c>
      <c r="J103" s="4" t="s">
        <v>366</v>
      </c>
      <c r="K103" s="4" t="s">
        <v>196</v>
      </c>
      <c r="L103" s="5">
        <v>68100</v>
      </c>
    </row>
    <row r="104" spans="1:12" ht="30" x14ac:dyDescent="0.25">
      <c r="A104" s="3" t="s">
        <v>12</v>
      </c>
      <c r="B104" s="4" t="s">
        <v>192</v>
      </c>
      <c r="C104" s="4" t="s">
        <v>25</v>
      </c>
      <c r="D104" s="4" t="s">
        <v>26</v>
      </c>
      <c r="E104" s="5" t="str">
        <f>"9110004"</f>
        <v>9110004</v>
      </c>
      <c r="F104" s="3" t="s">
        <v>367</v>
      </c>
      <c r="G104" s="5">
        <v>2551026689</v>
      </c>
      <c r="H104" s="4" t="s">
        <v>368</v>
      </c>
      <c r="I104" s="4" t="s">
        <v>195</v>
      </c>
      <c r="J104" s="4" t="s">
        <v>195</v>
      </c>
      <c r="K104" s="4" t="s">
        <v>369</v>
      </c>
      <c r="L104" s="5">
        <v>68132</v>
      </c>
    </row>
    <row r="105" spans="1:12" ht="30" x14ac:dyDescent="0.25">
      <c r="A105" s="3" t="s">
        <v>12</v>
      </c>
      <c r="B105" s="4" t="s">
        <v>192</v>
      </c>
      <c r="C105" s="4" t="s">
        <v>25</v>
      </c>
      <c r="D105" s="4" t="s">
        <v>26</v>
      </c>
      <c r="E105" s="5" t="str">
        <f>"9110324"</f>
        <v>9110324</v>
      </c>
      <c r="F105" s="3" t="s">
        <v>370</v>
      </c>
      <c r="G105" s="5">
        <v>2551041090</v>
      </c>
      <c r="H105" s="4" t="s">
        <v>371</v>
      </c>
      <c r="I105" s="4" t="s">
        <v>372</v>
      </c>
      <c r="J105" s="4" t="s">
        <v>373</v>
      </c>
      <c r="K105" s="4" t="s">
        <v>374</v>
      </c>
      <c r="L105" s="5">
        <v>68002</v>
      </c>
    </row>
    <row r="106" spans="1:12" ht="30" x14ac:dyDescent="0.25">
      <c r="A106" s="3" t="s">
        <v>12</v>
      </c>
      <c r="B106" s="4" t="s">
        <v>192</v>
      </c>
      <c r="C106" s="4" t="s">
        <v>25</v>
      </c>
      <c r="D106" s="4" t="s">
        <v>26</v>
      </c>
      <c r="E106" s="5" t="str">
        <f>"9110373"</f>
        <v>9110373</v>
      </c>
      <c r="F106" s="3" t="s">
        <v>375</v>
      </c>
      <c r="G106" s="5">
        <v>2551081714</v>
      </c>
      <c r="H106" s="4" t="s">
        <v>376</v>
      </c>
      <c r="I106" s="4" t="s">
        <v>195</v>
      </c>
      <c r="J106" s="4" t="s">
        <v>195</v>
      </c>
      <c r="K106" s="4" t="s">
        <v>377</v>
      </c>
      <c r="L106" s="5">
        <v>68133</v>
      </c>
    </row>
    <row r="107" spans="1:12" ht="30" x14ac:dyDescent="0.25">
      <c r="A107" s="3" t="s">
        <v>12</v>
      </c>
      <c r="B107" s="4" t="s">
        <v>192</v>
      </c>
      <c r="C107" s="4" t="s">
        <v>14</v>
      </c>
      <c r="D107" s="4" t="s">
        <v>15</v>
      </c>
      <c r="E107" s="5" t="str">
        <f>"9110055"</f>
        <v>9110055</v>
      </c>
      <c r="F107" s="3" t="s">
        <v>378</v>
      </c>
      <c r="G107" s="5">
        <v>2551041093</v>
      </c>
      <c r="H107" s="4" t="s">
        <v>379</v>
      </c>
      <c r="I107" s="4" t="s">
        <v>372</v>
      </c>
      <c r="J107" s="4" t="s">
        <v>380</v>
      </c>
      <c r="K107" s="4" t="s">
        <v>373</v>
      </c>
      <c r="L107" s="5">
        <v>68002</v>
      </c>
    </row>
    <row r="108" spans="1:12" ht="30" x14ac:dyDescent="0.25">
      <c r="A108" s="3" t="s">
        <v>12</v>
      </c>
      <c r="B108" s="4" t="s">
        <v>192</v>
      </c>
      <c r="C108" s="4" t="s">
        <v>25</v>
      </c>
      <c r="D108" s="4" t="s">
        <v>26</v>
      </c>
      <c r="E108" s="5" t="str">
        <f>"9110046"</f>
        <v>9110046</v>
      </c>
      <c r="F108" s="3" t="s">
        <v>381</v>
      </c>
      <c r="G108" s="5">
        <v>2555023588</v>
      </c>
      <c r="H108" s="4" t="s">
        <v>382</v>
      </c>
      <c r="I108" s="4" t="s">
        <v>195</v>
      </c>
      <c r="J108" s="4" t="s">
        <v>297</v>
      </c>
      <c r="K108" s="4" t="s">
        <v>383</v>
      </c>
      <c r="L108" s="5">
        <v>68500</v>
      </c>
    </row>
    <row r="109" spans="1:12" ht="30" x14ac:dyDescent="0.25">
      <c r="A109" s="3" t="s">
        <v>12</v>
      </c>
      <c r="B109" s="4" t="s">
        <v>192</v>
      </c>
      <c r="C109" s="4" t="s">
        <v>14</v>
      </c>
      <c r="D109" s="4" t="s">
        <v>15</v>
      </c>
      <c r="E109" s="5" t="str">
        <f>"9110241"</f>
        <v>9110241</v>
      </c>
      <c r="F109" s="3" t="s">
        <v>384</v>
      </c>
      <c r="G109" s="5">
        <v>2554350338</v>
      </c>
      <c r="H109" s="4" t="s">
        <v>385</v>
      </c>
      <c r="I109" s="4" t="s">
        <v>290</v>
      </c>
      <c r="J109" s="4" t="s">
        <v>305</v>
      </c>
      <c r="K109" s="4" t="s">
        <v>386</v>
      </c>
      <c r="L109" s="5">
        <v>68003</v>
      </c>
    </row>
    <row r="110" spans="1:12" ht="30" x14ac:dyDescent="0.25">
      <c r="A110" s="3" t="s">
        <v>12</v>
      </c>
      <c r="B110" s="4" t="s">
        <v>192</v>
      </c>
      <c r="C110" s="4" t="s">
        <v>14</v>
      </c>
      <c r="D110" s="4" t="s">
        <v>15</v>
      </c>
      <c r="E110" s="5" t="str">
        <f>"9110048"</f>
        <v>9110048</v>
      </c>
      <c r="F110" s="3" t="s">
        <v>387</v>
      </c>
      <c r="G110" s="5">
        <v>2555022296</v>
      </c>
      <c r="H110" s="4" t="s">
        <v>388</v>
      </c>
      <c r="I110" s="4" t="s">
        <v>195</v>
      </c>
      <c r="J110" s="4" t="s">
        <v>389</v>
      </c>
      <c r="K110" s="4" t="s">
        <v>390</v>
      </c>
      <c r="L110" s="5">
        <v>68500</v>
      </c>
    </row>
    <row r="111" spans="1:12" ht="30" x14ac:dyDescent="0.25">
      <c r="A111" s="3" t="s">
        <v>12</v>
      </c>
      <c r="B111" s="4" t="s">
        <v>192</v>
      </c>
      <c r="C111" s="4" t="s">
        <v>14</v>
      </c>
      <c r="D111" s="4" t="s">
        <v>15</v>
      </c>
      <c r="E111" s="5" t="str">
        <f>"9110016"</f>
        <v>9110016</v>
      </c>
      <c r="F111" s="3" t="s">
        <v>391</v>
      </c>
      <c r="G111" s="5">
        <v>2551026017</v>
      </c>
      <c r="H111" s="4" t="s">
        <v>392</v>
      </c>
      <c r="I111" s="4" t="s">
        <v>195</v>
      </c>
      <c r="J111" s="4" t="s">
        <v>230</v>
      </c>
      <c r="K111" s="4" t="s">
        <v>344</v>
      </c>
      <c r="L111" s="5">
        <v>68132</v>
      </c>
    </row>
    <row r="112" spans="1:12" ht="30" x14ac:dyDescent="0.25">
      <c r="A112" s="3" t="s">
        <v>12</v>
      </c>
      <c r="B112" s="4" t="s">
        <v>192</v>
      </c>
      <c r="C112" s="4" t="s">
        <v>14</v>
      </c>
      <c r="D112" s="4" t="s">
        <v>15</v>
      </c>
      <c r="E112" s="5" t="str">
        <f>"9110350"</f>
        <v>9110350</v>
      </c>
      <c r="F112" s="3" t="s">
        <v>393</v>
      </c>
      <c r="G112" s="5">
        <v>2551023507</v>
      </c>
      <c r="H112" s="4" t="s">
        <v>394</v>
      </c>
      <c r="I112" s="4" t="s">
        <v>195</v>
      </c>
      <c r="J112" s="4" t="s">
        <v>230</v>
      </c>
      <c r="K112" s="4" t="s">
        <v>395</v>
      </c>
      <c r="L112" s="5">
        <v>68132</v>
      </c>
    </row>
    <row r="113" spans="1:12" ht="30" x14ac:dyDescent="0.25">
      <c r="A113" s="3" t="s">
        <v>12</v>
      </c>
      <c r="B113" s="4" t="s">
        <v>192</v>
      </c>
      <c r="C113" s="4" t="s">
        <v>14</v>
      </c>
      <c r="D113" s="4" t="s">
        <v>15</v>
      </c>
      <c r="E113" s="5" t="str">
        <f>"9110382"</f>
        <v>9110382</v>
      </c>
      <c r="F113" s="3" t="s">
        <v>396</v>
      </c>
      <c r="G113" s="5">
        <v>2551027224</v>
      </c>
      <c r="H113" s="4" t="s">
        <v>397</v>
      </c>
      <c r="I113" s="4" t="s">
        <v>195</v>
      </c>
      <c r="J113" s="4" t="s">
        <v>230</v>
      </c>
      <c r="K113" s="4" t="s">
        <v>398</v>
      </c>
      <c r="L113" s="5">
        <v>68133</v>
      </c>
    </row>
    <row r="114" spans="1:12" ht="30" x14ac:dyDescent="0.25">
      <c r="A114" s="3" t="s">
        <v>12</v>
      </c>
      <c r="B114" s="4" t="s">
        <v>192</v>
      </c>
      <c r="C114" s="4" t="s">
        <v>14</v>
      </c>
      <c r="D114" s="4" t="s">
        <v>15</v>
      </c>
      <c r="E114" s="5" t="str">
        <f>"9110345"</f>
        <v>9110345</v>
      </c>
      <c r="F114" s="3" t="s">
        <v>399</v>
      </c>
      <c r="G114" s="5">
        <v>2552350222</v>
      </c>
      <c r="H114" s="4" t="s">
        <v>400</v>
      </c>
      <c r="I114" s="4" t="s">
        <v>213</v>
      </c>
      <c r="J114" s="4" t="s">
        <v>222</v>
      </c>
      <c r="K114" s="4" t="s">
        <v>401</v>
      </c>
      <c r="L114" s="5">
        <v>68200</v>
      </c>
    </row>
    <row r="115" spans="1:12" ht="30" x14ac:dyDescent="0.25">
      <c r="A115" s="3" t="s">
        <v>12</v>
      </c>
      <c r="B115" s="4" t="s">
        <v>192</v>
      </c>
      <c r="C115" s="4" t="s">
        <v>14</v>
      </c>
      <c r="D115" s="4" t="s">
        <v>15</v>
      </c>
      <c r="E115" s="5" t="str">
        <f>"9110134"</f>
        <v>9110134</v>
      </c>
      <c r="F115" s="3" t="s">
        <v>402</v>
      </c>
      <c r="G115" s="5">
        <v>2554022490</v>
      </c>
      <c r="H115" s="4" t="s">
        <v>403</v>
      </c>
      <c r="I115" s="4" t="s">
        <v>290</v>
      </c>
      <c r="J115" s="4" t="s">
        <v>404</v>
      </c>
      <c r="K115" s="4" t="s">
        <v>405</v>
      </c>
      <c r="L115" s="5">
        <v>68400</v>
      </c>
    </row>
    <row r="116" spans="1:12" ht="30" x14ac:dyDescent="0.25">
      <c r="A116" s="3" t="s">
        <v>12</v>
      </c>
      <c r="B116" s="4" t="s">
        <v>192</v>
      </c>
      <c r="C116" s="4" t="s">
        <v>14</v>
      </c>
      <c r="D116" s="4" t="s">
        <v>15</v>
      </c>
      <c r="E116" s="5" t="str">
        <f>"9110135"</f>
        <v>9110135</v>
      </c>
      <c r="F116" s="3" t="s">
        <v>406</v>
      </c>
      <c r="G116" s="5">
        <v>2554022225</v>
      </c>
      <c r="H116" s="4" t="s">
        <v>407</v>
      </c>
      <c r="I116" s="4" t="s">
        <v>290</v>
      </c>
      <c r="J116" s="4" t="s">
        <v>404</v>
      </c>
      <c r="K116" s="4" t="s">
        <v>408</v>
      </c>
      <c r="L116" s="5">
        <v>68400</v>
      </c>
    </row>
    <row r="117" spans="1:12" ht="30" x14ac:dyDescent="0.25">
      <c r="A117" s="3" t="s">
        <v>12</v>
      </c>
      <c r="B117" s="4" t="s">
        <v>192</v>
      </c>
      <c r="C117" s="4" t="s">
        <v>14</v>
      </c>
      <c r="D117" s="4" t="s">
        <v>15</v>
      </c>
      <c r="E117" s="5" t="str">
        <f>"9110025"</f>
        <v>9110025</v>
      </c>
      <c r="F117" s="3" t="s">
        <v>409</v>
      </c>
      <c r="G117" s="5">
        <v>2551354000</v>
      </c>
      <c r="H117" s="4" t="s">
        <v>410</v>
      </c>
      <c r="I117" s="4" t="s">
        <v>195</v>
      </c>
      <c r="J117" s="4" t="s">
        <v>411</v>
      </c>
      <c r="K117" s="4" t="s">
        <v>412</v>
      </c>
      <c r="L117" s="5">
        <v>68100</v>
      </c>
    </row>
    <row r="118" spans="1:12" ht="30" x14ac:dyDescent="0.25">
      <c r="A118" s="3" t="s">
        <v>12</v>
      </c>
      <c r="B118" s="4" t="s">
        <v>192</v>
      </c>
      <c r="C118" s="4" t="s">
        <v>14</v>
      </c>
      <c r="D118" s="4" t="s">
        <v>15</v>
      </c>
      <c r="E118" s="5" t="str">
        <f>"9110014"</f>
        <v>9110014</v>
      </c>
      <c r="F118" s="3" t="s">
        <v>413</v>
      </c>
      <c r="G118" s="5">
        <v>2551045106</v>
      </c>
      <c r="H118" s="4" t="s">
        <v>414</v>
      </c>
      <c r="I118" s="4" t="s">
        <v>195</v>
      </c>
      <c r="J118" s="4" t="s">
        <v>415</v>
      </c>
      <c r="K118" s="4" t="s">
        <v>363</v>
      </c>
      <c r="L118" s="5">
        <v>68100</v>
      </c>
    </row>
    <row r="119" spans="1:12" ht="30" x14ac:dyDescent="0.25">
      <c r="A119" s="3" t="s">
        <v>12</v>
      </c>
      <c r="B119" s="4" t="s">
        <v>192</v>
      </c>
      <c r="C119" s="4" t="s">
        <v>14</v>
      </c>
      <c r="D119" s="4" t="s">
        <v>15</v>
      </c>
      <c r="E119" s="5" t="str">
        <f>"9110047"</f>
        <v>9110047</v>
      </c>
      <c r="F119" s="3" t="s">
        <v>416</v>
      </c>
      <c r="G119" s="5">
        <v>2555022377</v>
      </c>
      <c r="H119" s="4" t="s">
        <v>417</v>
      </c>
      <c r="I119" s="4" t="s">
        <v>195</v>
      </c>
      <c r="J119" s="4" t="s">
        <v>389</v>
      </c>
      <c r="K119" s="4" t="s">
        <v>418</v>
      </c>
      <c r="L119" s="5">
        <v>68500</v>
      </c>
    </row>
    <row r="120" spans="1:12" ht="30" x14ac:dyDescent="0.25">
      <c r="A120" s="3" t="s">
        <v>12</v>
      </c>
      <c r="B120" s="4" t="s">
        <v>192</v>
      </c>
      <c r="C120" s="4" t="s">
        <v>14</v>
      </c>
      <c r="D120" s="4" t="s">
        <v>15</v>
      </c>
      <c r="E120" s="5" t="str">
        <f>"9110049"</f>
        <v>9110049</v>
      </c>
      <c r="F120" s="3" t="s">
        <v>419</v>
      </c>
      <c r="G120" s="5">
        <v>2555022571</v>
      </c>
      <c r="H120" s="4" t="s">
        <v>420</v>
      </c>
      <c r="I120" s="4" t="s">
        <v>195</v>
      </c>
      <c r="J120" s="4" t="s">
        <v>297</v>
      </c>
      <c r="K120" s="4" t="s">
        <v>421</v>
      </c>
      <c r="L120" s="5">
        <v>68500</v>
      </c>
    </row>
    <row r="121" spans="1:12" ht="30" x14ac:dyDescent="0.25">
      <c r="A121" s="3" t="s">
        <v>12</v>
      </c>
      <c r="B121" s="4" t="s">
        <v>192</v>
      </c>
      <c r="C121" s="4" t="s">
        <v>25</v>
      </c>
      <c r="D121" s="4" t="s">
        <v>26</v>
      </c>
      <c r="E121" s="5" t="str">
        <f>"9110344"</f>
        <v>9110344</v>
      </c>
      <c r="F121" s="3" t="s">
        <v>422</v>
      </c>
      <c r="G121" s="5">
        <v>2552022096</v>
      </c>
      <c r="H121" s="4" t="s">
        <v>423</v>
      </c>
      <c r="I121" s="4" t="s">
        <v>213</v>
      </c>
      <c r="J121" s="4" t="s">
        <v>226</v>
      </c>
      <c r="K121" s="4" t="s">
        <v>424</v>
      </c>
      <c r="L121" s="5">
        <v>68200</v>
      </c>
    </row>
    <row r="122" spans="1:12" ht="30" x14ac:dyDescent="0.25">
      <c r="A122" s="3" t="s">
        <v>12</v>
      </c>
      <c r="B122" s="4" t="s">
        <v>192</v>
      </c>
      <c r="C122" s="4" t="s">
        <v>14</v>
      </c>
      <c r="D122" s="4" t="s">
        <v>15</v>
      </c>
      <c r="E122" s="5" t="str">
        <f>"9110283"</f>
        <v>9110283</v>
      </c>
      <c r="F122" s="3" t="s">
        <v>425</v>
      </c>
      <c r="G122" s="5">
        <v>2551084304</v>
      </c>
      <c r="H122" s="4" t="s">
        <v>426</v>
      </c>
      <c r="I122" s="4" t="s">
        <v>195</v>
      </c>
      <c r="J122" s="4" t="s">
        <v>230</v>
      </c>
      <c r="K122" s="4" t="s">
        <v>427</v>
      </c>
      <c r="L122" s="5">
        <v>68131</v>
      </c>
    </row>
    <row r="123" spans="1:12" ht="30" x14ac:dyDescent="0.25">
      <c r="A123" s="3" t="s">
        <v>12</v>
      </c>
      <c r="B123" s="4" t="s">
        <v>192</v>
      </c>
      <c r="C123" s="4" t="s">
        <v>14</v>
      </c>
      <c r="D123" s="4" t="s">
        <v>15</v>
      </c>
      <c r="E123" s="5" t="str">
        <f>"9110250"</f>
        <v>9110250</v>
      </c>
      <c r="F123" s="3" t="s">
        <v>428</v>
      </c>
      <c r="G123" s="5">
        <v>2551023143</v>
      </c>
      <c r="H123" s="4" t="s">
        <v>429</v>
      </c>
      <c r="I123" s="4" t="s">
        <v>195</v>
      </c>
      <c r="J123" s="4" t="s">
        <v>230</v>
      </c>
      <c r="K123" s="4" t="s">
        <v>430</v>
      </c>
      <c r="L123" s="5">
        <v>68131</v>
      </c>
    </row>
    <row r="124" spans="1:12" ht="30" x14ac:dyDescent="0.25">
      <c r="A124" s="3" t="s">
        <v>12</v>
      </c>
      <c r="B124" s="4" t="s">
        <v>192</v>
      </c>
      <c r="C124" s="4" t="s">
        <v>14</v>
      </c>
      <c r="D124" s="4" t="s">
        <v>15</v>
      </c>
      <c r="E124" s="5" t="str">
        <f>"9110284"</f>
        <v>9110284</v>
      </c>
      <c r="F124" s="3" t="s">
        <v>431</v>
      </c>
      <c r="G124" s="5">
        <v>2551027895</v>
      </c>
      <c r="H124" s="4" t="s">
        <v>432</v>
      </c>
      <c r="I124" s="4" t="s">
        <v>195</v>
      </c>
      <c r="J124" s="4" t="s">
        <v>433</v>
      </c>
      <c r="K124" s="4" t="s">
        <v>434</v>
      </c>
      <c r="L124" s="5">
        <v>68131</v>
      </c>
    </row>
    <row r="125" spans="1:12" ht="30" x14ac:dyDescent="0.25">
      <c r="A125" s="3" t="s">
        <v>12</v>
      </c>
      <c r="B125" s="4" t="s">
        <v>192</v>
      </c>
      <c r="C125" s="4" t="s">
        <v>14</v>
      </c>
      <c r="D125" s="4" t="s">
        <v>15</v>
      </c>
      <c r="E125" s="5" t="str">
        <f>"9520820"</f>
        <v>9520820</v>
      </c>
      <c r="F125" s="3" t="s">
        <v>435</v>
      </c>
      <c r="G125" s="5">
        <v>2551089913</v>
      </c>
      <c r="H125" s="4" t="s">
        <v>436</v>
      </c>
      <c r="I125" s="4" t="s">
        <v>195</v>
      </c>
      <c r="J125" s="4" t="s">
        <v>230</v>
      </c>
      <c r="K125" s="4" t="s">
        <v>437</v>
      </c>
      <c r="L125" s="5">
        <v>68133</v>
      </c>
    </row>
    <row r="126" spans="1:12" ht="30" x14ac:dyDescent="0.25">
      <c r="A126" s="3" t="s">
        <v>12</v>
      </c>
      <c r="B126" s="4" t="s">
        <v>192</v>
      </c>
      <c r="C126" s="4" t="s">
        <v>14</v>
      </c>
      <c r="D126" s="4" t="s">
        <v>438</v>
      </c>
      <c r="E126" s="5" t="str">
        <f>"9110116"</f>
        <v>9110116</v>
      </c>
      <c r="F126" s="3" t="s">
        <v>439</v>
      </c>
      <c r="G126" s="5">
        <v>2554350358</v>
      </c>
      <c r="H126" s="4" t="s">
        <v>440</v>
      </c>
      <c r="I126" s="4" t="s">
        <v>290</v>
      </c>
      <c r="J126" s="4" t="s">
        <v>441</v>
      </c>
      <c r="K126" s="4" t="s">
        <v>442</v>
      </c>
      <c r="L126" s="5">
        <v>68400</v>
      </c>
    </row>
    <row r="127" spans="1:12" ht="30" x14ac:dyDescent="0.25">
      <c r="A127" s="3" t="s">
        <v>12</v>
      </c>
      <c r="B127" s="4" t="s">
        <v>192</v>
      </c>
      <c r="C127" s="4" t="s">
        <v>25</v>
      </c>
      <c r="D127" s="4" t="s">
        <v>26</v>
      </c>
      <c r="E127" s="5" t="str">
        <f>"9110157"</f>
        <v>9110157</v>
      </c>
      <c r="F127" s="3" t="s">
        <v>443</v>
      </c>
      <c r="G127" s="5">
        <v>2552022014</v>
      </c>
      <c r="H127" s="4" t="s">
        <v>444</v>
      </c>
      <c r="I127" s="4" t="s">
        <v>213</v>
      </c>
      <c r="J127" s="4" t="s">
        <v>226</v>
      </c>
      <c r="K127" s="4" t="s">
        <v>445</v>
      </c>
      <c r="L127" s="5">
        <v>68200</v>
      </c>
    </row>
    <row r="128" spans="1:12" ht="30" x14ac:dyDescent="0.25">
      <c r="A128" s="3" t="s">
        <v>12</v>
      </c>
      <c r="B128" s="4" t="s">
        <v>192</v>
      </c>
      <c r="C128" s="4" t="s">
        <v>14</v>
      </c>
      <c r="D128" s="4" t="s">
        <v>15</v>
      </c>
      <c r="E128" s="5" t="str">
        <f>"9521082"</f>
        <v>9521082</v>
      </c>
      <c r="F128" s="3" t="s">
        <v>446</v>
      </c>
      <c r="G128" s="5">
        <v>2553020200</v>
      </c>
      <c r="H128" s="4" t="s">
        <v>447</v>
      </c>
      <c r="I128" s="4" t="s">
        <v>243</v>
      </c>
      <c r="J128" s="4" t="s">
        <v>244</v>
      </c>
      <c r="K128" s="4" t="s">
        <v>448</v>
      </c>
      <c r="L128" s="5">
        <v>68300</v>
      </c>
    </row>
    <row r="129" spans="1:12" ht="30" x14ac:dyDescent="0.25">
      <c r="A129" s="3" t="s">
        <v>12</v>
      </c>
      <c r="B129" s="4" t="s">
        <v>192</v>
      </c>
      <c r="C129" s="4" t="s">
        <v>25</v>
      </c>
      <c r="D129" s="4" t="s">
        <v>26</v>
      </c>
      <c r="E129" s="5" t="str">
        <f>"9521125"</f>
        <v>9521125</v>
      </c>
      <c r="F129" s="3" t="s">
        <v>449</v>
      </c>
      <c r="G129" s="5">
        <v>2552029403</v>
      </c>
      <c r="H129" s="4" t="s">
        <v>450</v>
      </c>
      <c r="I129" s="4" t="s">
        <v>213</v>
      </c>
      <c r="J129" s="4" t="s">
        <v>301</v>
      </c>
      <c r="K129" s="4" t="s">
        <v>451</v>
      </c>
      <c r="L129" s="5">
        <v>68200</v>
      </c>
    </row>
    <row r="130" spans="1:12" ht="30" x14ac:dyDescent="0.25">
      <c r="A130" s="3" t="s">
        <v>12</v>
      </c>
      <c r="B130" s="4" t="s">
        <v>192</v>
      </c>
      <c r="C130" s="4" t="s">
        <v>14</v>
      </c>
      <c r="D130" s="4" t="s">
        <v>452</v>
      </c>
      <c r="E130" s="5" t="str">
        <f>"9110248"</f>
        <v>9110248</v>
      </c>
      <c r="F130" s="3" t="s">
        <v>453</v>
      </c>
      <c r="G130" s="5">
        <v>2551024443</v>
      </c>
      <c r="H130" s="4" t="s">
        <v>454</v>
      </c>
      <c r="I130" s="4" t="s">
        <v>195</v>
      </c>
      <c r="J130" s="4" t="s">
        <v>230</v>
      </c>
      <c r="K130" s="4" t="s">
        <v>455</v>
      </c>
      <c r="L130" s="5">
        <v>68131</v>
      </c>
    </row>
    <row r="131" spans="1:12" ht="30" x14ac:dyDescent="0.25">
      <c r="A131" s="3" t="s">
        <v>12</v>
      </c>
      <c r="B131" s="4" t="s">
        <v>192</v>
      </c>
      <c r="C131" s="4" t="s">
        <v>25</v>
      </c>
      <c r="D131" s="4" t="s">
        <v>26</v>
      </c>
      <c r="E131" s="5" t="str">
        <f>"9521362"</f>
        <v>9521362</v>
      </c>
      <c r="F131" s="3" t="s">
        <v>456</v>
      </c>
      <c r="G131" s="5">
        <v>2551080510</v>
      </c>
      <c r="H131" s="4" t="s">
        <v>457</v>
      </c>
      <c r="I131" s="4" t="s">
        <v>195</v>
      </c>
      <c r="J131" s="4" t="s">
        <v>195</v>
      </c>
      <c r="K131" s="4" t="s">
        <v>458</v>
      </c>
      <c r="L131" s="5">
        <v>68133</v>
      </c>
    </row>
    <row r="132" spans="1:12" ht="30" x14ac:dyDescent="0.25">
      <c r="A132" s="3" t="s">
        <v>12</v>
      </c>
      <c r="B132" s="4" t="s">
        <v>192</v>
      </c>
      <c r="C132" s="4" t="s">
        <v>25</v>
      </c>
      <c r="D132" s="4" t="s">
        <v>26</v>
      </c>
      <c r="E132" s="5" t="str">
        <f>"9521363"</f>
        <v>9521363</v>
      </c>
      <c r="F132" s="3" t="s">
        <v>459</v>
      </c>
      <c r="G132" s="5">
        <v>2551084248</v>
      </c>
      <c r="H132" s="4" t="s">
        <v>460</v>
      </c>
      <c r="I132" s="4" t="s">
        <v>195</v>
      </c>
      <c r="J132" s="4" t="s">
        <v>195</v>
      </c>
      <c r="K132" s="4" t="s">
        <v>461</v>
      </c>
      <c r="L132" s="5">
        <v>68133</v>
      </c>
    </row>
    <row r="133" spans="1:12" ht="30" x14ac:dyDescent="0.25">
      <c r="A133" s="3" t="s">
        <v>12</v>
      </c>
      <c r="B133" s="4" t="s">
        <v>192</v>
      </c>
      <c r="C133" s="4" t="s">
        <v>14</v>
      </c>
      <c r="D133" s="4" t="s">
        <v>15</v>
      </c>
      <c r="E133" s="5" t="str">
        <f>"9110009"</f>
        <v>9110009</v>
      </c>
      <c r="F133" s="3" t="s">
        <v>462</v>
      </c>
      <c r="G133" s="5">
        <v>2551026752</v>
      </c>
      <c r="H133" s="4" t="s">
        <v>463</v>
      </c>
      <c r="I133" s="4" t="s">
        <v>195</v>
      </c>
      <c r="J133" s="4" t="s">
        <v>230</v>
      </c>
      <c r="K133" s="4" t="s">
        <v>464</v>
      </c>
      <c r="L133" s="5">
        <v>68132</v>
      </c>
    </row>
    <row r="134" spans="1:12" ht="30" x14ac:dyDescent="0.25">
      <c r="A134" s="3" t="s">
        <v>12</v>
      </c>
      <c r="B134" s="4" t="s">
        <v>465</v>
      </c>
      <c r="C134" s="4" t="s">
        <v>25</v>
      </c>
      <c r="D134" s="4" t="s">
        <v>26</v>
      </c>
      <c r="E134" s="5" t="str">
        <f>"9210142"</f>
        <v>9210142</v>
      </c>
      <c r="F134" s="3" t="s">
        <v>466</v>
      </c>
      <c r="G134" s="5">
        <v>2510241512</v>
      </c>
      <c r="H134" s="4" t="s">
        <v>467</v>
      </c>
      <c r="I134" s="4" t="s">
        <v>468</v>
      </c>
      <c r="J134" s="4" t="s">
        <v>468</v>
      </c>
      <c r="K134" s="4" t="s">
        <v>469</v>
      </c>
      <c r="L134" s="5">
        <v>65404</v>
      </c>
    </row>
    <row r="135" spans="1:12" ht="30" x14ac:dyDescent="0.25">
      <c r="A135" s="3" t="s">
        <v>12</v>
      </c>
      <c r="B135" s="4" t="s">
        <v>465</v>
      </c>
      <c r="C135" s="4" t="s">
        <v>25</v>
      </c>
      <c r="D135" s="4" t="s">
        <v>26</v>
      </c>
      <c r="E135" s="5" t="str">
        <f>"9210234"</f>
        <v>9210234</v>
      </c>
      <c r="F135" s="3" t="s">
        <v>470</v>
      </c>
      <c r="G135" s="5">
        <v>2510391418</v>
      </c>
      <c r="H135" s="4" t="s">
        <v>471</v>
      </c>
      <c r="I135" s="4" t="s">
        <v>468</v>
      </c>
      <c r="J135" s="4" t="s">
        <v>472</v>
      </c>
      <c r="K135" s="4" t="s">
        <v>473</v>
      </c>
      <c r="L135" s="5">
        <v>64012</v>
      </c>
    </row>
    <row r="136" spans="1:12" ht="30" x14ac:dyDescent="0.25">
      <c r="A136" s="3" t="s">
        <v>12</v>
      </c>
      <c r="B136" s="4" t="s">
        <v>465</v>
      </c>
      <c r="C136" s="4" t="s">
        <v>25</v>
      </c>
      <c r="D136" s="4" t="s">
        <v>26</v>
      </c>
      <c r="E136" s="5" t="str">
        <f>"9210186"</f>
        <v>9210186</v>
      </c>
      <c r="F136" s="3" t="s">
        <v>474</v>
      </c>
      <c r="G136" s="5">
        <v>2510231331</v>
      </c>
      <c r="H136" s="4" t="s">
        <v>475</v>
      </c>
      <c r="I136" s="4" t="s">
        <v>468</v>
      </c>
      <c r="J136" s="4" t="s">
        <v>468</v>
      </c>
      <c r="K136" s="4" t="s">
        <v>476</v>
      </c>
      <c r="L136" s="5">
        <v>65403</v>
      </c>
    </row>
    <row r="137" spans="1:12" ht="30" x14ac:dyDescent="0.25">
      <c r="A137" s="3" t="s">
        <v>12</v>
      </c>
      <c r="B137" s="4" t="s">
        <v>465</v>
      </c>
      <c r="C137" s="4" t="s">
        <v>25</v>
      </c>
      <c r="D137" s="4" t="s">
        <v>26</v>
      </c>
      <c r="E137" s="5" t="str">
        <f>"9210223"</f>
        <v>9210223</v>
      </c>
      <c r="F137" s="3" t="s">
        <v>477</v>
      </c>
      <c r="G137" s="5">
        <v>2510227575</v>
      </c>
      <c r="H137" s="4" t="s">
        <v>478</v>
      </c>
      <c r="I137" s="4" t="s">
        <v>468</v>
      </c>
      <c r="J137" s="4" t="s">
        <v>468</v>
      </c>
      <c r="K137" s="4" t="s">
        <v>479</v>
      </c>
      <c r="L137" s="5">
        <v>65403</v>
      </c>
    </row>
    <row r="138" spans="1:12" ht="30" x14ac:dyDescent="0.25">
      <c r="A138" s="3" t="s">
        <v>12</v>
      </c>
      <c r="B138" s="4" t="s">
        <v>465</v>
      </c>
      <c r="C138" s="4" t="s">
        <v>25</v>
      </c>
      <c r="D138" s="4" t="s">
        <v>26</v>
      </c>
      <c r="E138" s="5" t="str">
        <f>"9210188"</f>
        <v>9210188</v>
      </c>
      <c r="F138" s="3" t="s">
        <v>480</v>
      </c>
      <c r="G138" s="5">
        <v>2510245675</v>
      </c>
      <c r="H138" s="4" t="s">
        <v>481</v>
      </c>
      <c r="I138" s="4" t="s">
        <v>468</v>
      </c>
      <c r="J138" s="4" t="s">
        <v>468</v>
      </c>
      <c r="K138" s="4" t="s">
        <v>482</v>
      </c>
      <c r="L138" s="5">
        <v>65404</v>
      </c>
    </row>
    <row r="139" spans="1:12" ht="30" x14ac:dyDescent="0.25">
      <c r="A139" s="3" t="s">
        <v>12</v>
      </c>
      <c r="B139" s="4" t="s">
        <v>465</v>
      </c>
      <c r="C139" s="4" t="s">
        <v>25</v>
      </c>
      <c r="D139" s="4" t="s">
        <v>26</v>
      </c>
      <c r="E139" s="5" t="str">
        <f>"9210070"</f>
        <v>9210070</v>
      </c>
      <c r="F139" s="3" t="s">
        <v>483</v>
      </c>
      <c r="G139" s="5">
        <v>2510836876</v>
      </c>
      <c r="H139" s="4" t="s">
        <v>484</v>
      </c>
      <c r="I139" s="4" t="s">
        <v>468</v>
      </c>
      <c r="J139" s="4" t="s">
        <v>468</v>
      </c>
      <c r="K139" s="4" t="s">
        <v>485</v>
      </c>
      <c r="L139" s="5">
        <v>65403</v>
      </c>
    </row>
    <row r="140" spans="1:12" ht="30" x14ac:dyDescent="0.25">
      <c r="A140" s="3" t="s">
        <v>12</v>
      </c>
      <c r="B140" s="4" t="s">
        <v>465</v>
      </c>
      <c r="C140" s="4" t="s">
        <v>25</v>
      </c>
      <c r="D140" s="4" t="s">
        <v>26</v>
      </c>
      <c r="E140" s="5" t="str">
        <f>"9210192"</f>
        <v>9210192</v>
      </c>
      <c r="F140" s="3" t="s">
        <v>486</v>
      </c>
      <c r="G140" s="5">
        <v>6942272050</v>
      </c>
      <c r="H140" s="4" t="s">
        <v>487</v>
      </c>
      <c r="I140" s="4" t="s">
        <v>468</v>
      </c>
      <c r="J140" s="4" t="s">
        <v>468</v>
      </c>
      <c r="K140" s="4" t="s">
        <v>488</v>
      </c>
      <c r="L140" s="5">
        <v>65201</v>
      </c>
    </row>
    <row r="141" spans="1:12" ht="30" x14ac:dyDescent="0.25">
      <c r="A141" s="3" t="s">
        <v>12</v>
      </c>
      <c r="B141" s="4" t="s">
        <v>465</v>
      </c>
      <c r="C141" s="4" t="s">
        <v>25</v>
      </c>
      <c r="D141" s="4" t="s">
        <v>26</v>
      </c>
      <c r="E141" s="5" t="str">
        <f>"9210067"</f>
        <v>9210067</v>
      </c>
      <c r="F141" s="3" t="s">
        <v>489</v>
      </c>
      <c r="G141" s="5">
        <v>2510226686</v>
      </c>
      <c r="H141" s="4" t="s">
        <v>490</v>
      </c>
      <c r="I141" s="4" t="s">
        <v>468</v>
      </c>
      <c r="J141" s="4" t="s">
        <v>468</v>
      </c>
      <c r="K141" s="4" t="s">
        <v>491</v>
      </c>
      <c r="L141" s="5">
        <v>65302</v>
      </c>
    </row>
    <row r="142" spans="1:12" ht="30" x14ac:dyDescent="0.25">
      <c r="A142" s="3" t="s">
        <v>12</v>
      </c>
      <c r="B142" s="4" t="s">
        <v>465</v>
      </c>
      <c r="C142" s="4" t="s">
        <v>14</v>
      </c>
      <c r="D142" s="4" t="s">
        <v>15</v>
      </c>
      <c r="E142" s="5" t="str">
        <f>"9210068"</f>
        <v>9210068</v>
      </c>
      <c r="F142" s="3" t="s">
        <v>492</v>
      </c>
      <c r="G142" s="5">
        <v>2510222813</v>
      </c>
      <c r="H142" s="4" t="s">
        <v>493</v>
      </c>
      <c r="I142" s="4" t="s">
        <v>468</v>
      </c>
      <c r="J142" s="4" t="s">
        <v>494</v>
      </c>
      <c r="K142" s="4" t="s">
        <v>495</v>
      </c>
      <c r="L142" s="5">
        <v>65403</v>
      </c>
    </row>
    <row r="143" spans="1:12" ht="30" x14ac:dyDescent="0.25">
      <c r="A143" s="3" t="s">
        <v>12</v>
      </c>
      <c r="B143" s="4" t="s">
        <v>465</v>
      </c>
      <c r="C143" s="4" t="s">
        <v>14</v>
      </c>
      <c r="D143" s="4" t="s">
        <v>15</v>
      </c>
      <c r="E143" s="5" t="str">
        <f>"9210105"</f>
        <v>9210105</v>
      </c>
      <c r="F143" s="3" t="s">
        <v>496</v>
      </c>
      <c r="G143" s="5">
        <v>2592350735</v>
      </c>
      <c r="H143" s="4" t="s">
        <v>497</v>
      </c>
      <c r="I143" s="4" t="s">
        <v>498</v>
      </c>
      <c r="J143" s="4" t="s">
        <v>499</v>
      </c>
      <c r="K143" s="4" t="s">
        <v>500</v>
      </c>
      <c r="L143" s="5">
        <v>64100</v>
      </c>
    </row>
    <row r="144" spans="1:12" ht="30" x14ac:dyDescent="0.25">
      <c r="A144" s="3" t="s">
        <v>12</v>
      </c>
      <c r="B144" s="4" t="s">
        <v>465</v>
      </c>
      <c r="C144" s="4" t="s">
        <v>14</v>
      </c>
      <c r="D144" s="4" t="s">
        <v>15</v>
      </c>
      <c r="E144" s="5" t="str">
        <f>"9210021"</f>
        <v>9210021</v>
      </c>
      <c r="F144" s="3" t="s">
        <v>501</v>
      </c>
      <c r="G144" s="5">
        <v>2591025201</v>
      </c>
      <c r="H144" s="4" t="s">
        <v>502</v>
      </c>
      <c r="I144" s="4" t="s">
        <v>503</v>
      </c>
      <c r="J144" s="4" t="s">
        <v>504</v>
      </c>
      <c r="K144" s="4" t="s">
        <v>505</v>
      </c>
      <c r="L144" s="5">
        <v>64200</v>
      </c>
    </row>
    <row r="145" spans="1:12" ht="30" x14ac:dyDescent="0.25">
      <c r="A145" s="3" t="s">
        <v>12</v>
      </c>
      <c r="B145" s="4" t="s">
        <v>465</v>
      </c>
      <c r="C145" s="4" t="s">
        <v>25</v>
      </c>
      <c r="D145" s="4" t="s">
        <v>26</v>
      </c>
      <c r="E145" s="5" t="str">
        <f>"9210258"</f>
        <v>9210258</v>
      </c>
      <c r="F145" s="3" t="s">
        <v>506</v>
      </c>
      <c r="G145" s="5">
        <v>2510240324</v>
      </c>
      <c r="H145" s="4" t="s">
        <v>507</v>
      </c>
      <c r="I145" s="4" t="s">
        <v>468</v>
      </c>
      <c r="J145" s="4" t="s">
        <v>468</v>
      </c>
      <c r="K145" s="4" t="s">
        <v>508</v>
      </c>
      <c r="L145" s="5">
        <v>65404</v>
      </c>
    </row>
    <row r="146" spans="1:12" ht="30" x14ac:dyDescent="0.25">
      <c r="A146" s="3" t="s">
        <v>12</v>
      </c>
      <c r="B146" s="4" t="s">
        <v>465</v>
      </c>
      <c r="C146" s="4" t="s">
        <v>14</v>
      </c>
      <c r="D146" s="4" t="s">
        <v>15</v>
      </c>
      <c r="E146" s="5" t="str">
        <f>"9210199"</f>
        <v>9210199</v>
      </c>
      <c r="F146" s="3" t="s">
        <v>509</v>
      </c>
      <c r="G146" s="5">
        <v>2510244492</v>
      </c>
      <c r="H146" s="4" t="s">
        <v>510</v>
      </c>
      <c r="I146" s="4" t="s">
        <v>468</v>
      </c>
      <c r="J146" s="4" t="s">
        <v>494</v>
      </c>
      <c r="K146" s="4" t="s">
        <v>511</v>
      </c>
      <c r="L146" s="5">
        <v>65404</v>
      </c>
    </row>
    <row r="147" spans="1:12" ht="30" x14ac:dyDescent="0.25">
      <c r="A147" s="3" t="s">
        <v>12</v>
      </c>
      <c r="B147" s="4" t="s">
        <v>465</v>
      </c>
      <c r="C147" s="4" t="s">
        <v>14</v>
      </c>
      <c r="D147" s="4" t="s">
        <v>15</v>
      </c>
      <c r="E147" s="5" t="str">
        <f>"9210124"</f>
        <v>9210124</v>
      </c>
      <c r="F147" s="3" t="s">
        <v>512</v>
      </c>
      <c r="G147" s="5">
        <v>2593031266</v>
      </c>
      <c r="H147" s="4" t="s">
        <v>513</v>
      </c>
      <c r="I147" s="4" t="s">
        <v>514</v>
      </c>
      <c r="J147" s="4" t="s">
        <v>515</v>
      </c>
      <c r="K147" s="4" t="s">
        <v>516</v>
      </c>
      <c r="L147" s="5">
        <v>64005</v>
      </c>
    </row>
    <row r="148" spans="1:12" ht="30" x14ac:dyDescent="0.25">
      <c r="A148" s="3" t="s">
        <v>12</v>
      </c>
      <c r="B148" s="4" t="s">
        <v>465</v>
      </c>
      <c r="C148" s="4" t="s">
        <v>14</v>
      </c>
      <c r="D148" s="4" t="s">
        <v>15</v>
      </c>
      <c r="E148" s="5" t="str">
        <f>"9210095"</f>
        <v>9210095</v>
      </c>
      <c r="F148" s="3" t="s">
        <v>517</v>
      </c>
      <c r="G148" s="5">
        <v>2592350729</v>
      </c>
      <c r="H148" s="4" t="s">
        <v>518</v>
      </c>
      <c r="I148" s="4" t="s">
        <v>498</v>
      </c>
      <c r="J148" s="4" t="s">
        <v>519</v>
      </c>
      <c r="K148" s="4" t="s">
        <v>520</v>
      </c>
      <c r="L148" s="5">
        <v>64008</v>
      </c>
    </row>
    <row r="149" spans="1:12" ht="30" x14ac:dyDescent="0.25">
      <c r="A149" s="3" t="s">
        <v>12</v>
      </c>
      <c r="B149" s="4" t="s">
        <v>465</v>
      </c>
      <c r="C149" s="4" t="s">
        <v>25</v>
      </c>
      <c r="D149" s="4" t="s">
        <v>26</v>
      </c>
      <c r="E149" s="5" t="str">
        <f>"9210187"</f>
        <v>9210187</v>
      </c>
      <c r="F149" s="3" t="s">
        <v>521</v>
      </c>
      <c r="G149" s="5">
        <v>2510223981</v>
      </c>
      <c r="H149" s="4" t="s">
        <v>522</v>
      </c>
      <c r="I149" s="4" t="s">
        <v>468</v>
      </c>
      <c r="J149" s="4" t="s">
        <v>468</v>
      </c>
      <c r="K149" s="4" t="s">
        <v>523</v>
      </c>
      <c r="L149" s="5">
        <v>65403</v>
      </c>
    </row>
    <row r="150" spans="1:12" ht="30" x14ac:dyDescent="0.25">
      <c r="A150" s="3" t="s">
        <v>12</v>
      </c>
      <c r="B150" s="4" t="s">
        <v>465</v>
      </c>
      <c r="C150" s="4" t="s">
        <v>14</v>
      </c>
      <c r="D150" s="4" t="s">
        <v>15</v>
      </c>
      <c r="E150" s="5" t="str">
        <f>"9210163"</f>
        <v>9210163</v>
      </c>
      <c r="F150" s="3" t="s">
        <v>524</v>
      </c>
      <c r="G150" s="5">
        <v>2510516406</v>
      </c>
      <c r="H150" s="4" t="s">
        <v>525</v>
      </c>
      <c r="I150" s="4" t="s">
        <v>468</v>
      </c>
      <c r="J150" s="4" t="s">
        <v>526</v>
      </c>
      <c r="K150" s="4" t="s">
        <v>527</v>
      </c>
      <c r="L150" s="5">
        <v>64003</v>
      </c>
    </row>
    <row r="151" spans="1:12" ht="30" x14ac:dyDescent="0.25">
      <c r="A151" s="3" t="s">
        <v>12</v>
      </c>
      <c r="B151" s="4" t="s">
        <v>465</v>
      </c>
      <c r="C151" s="4" t="s">
        <v>25</v>
      </c>
      <c r="D151" s="4" t="s">
        <v>26</v>
      </c>
      <c r="E151" s="5" t="str">
        <f>"9210156"</f>
        <v>9210156</v>
      </c>
      <c r="F151" s="3" t="s">
        <v>528</v>
      </c>
      <c r="G151" s="5">
        <v>2510612048</v>
      </c>
      <c r="H151" s="4" t="s">
        <v>529</v>
      </c>
      <c r="I151" s="4" t="s">
        <v>468</v>
      </c>
      <c r="J151" s="4"/>
      <c r="K151" s="4" t="s">
        <v>530</v>
      </c>
      <c r="L151" s="5">
        <v>65500</v>
      </c>
    </row>
    <row r="152" spans="1:12" ht="30" x14ac:dyDescent="0.25">
      <c r="A152" s="3" t="s">
        <v>12</v>
      </c>
      <c r="B152" s="4" t="s">
        <v>465</v>
      </c>
      <c r="C152" s="4" t="s">
        <v>25</v>
      </c>
      <c r="D152" s="4" t="s">
        <v>26</v>
      </c>
      <c r="E152" s="5" t="str">
        <f>"9210025"</f>
        <v>9210025</v>
      </c>
      <c r="F152" s="3" t="s">
        <v>531</v>
      </c>
      <c r="G152" s="5">
        <v>2591022732</v>
      </c>
      <c r="H152" s="4" t="s">
        <v>532</v>
      </c>
      <c r="I152" s="4" t="s">
        <v>503</v>
      </c>
      <c r="J152" s="4" t="s">
        <v>533</v>
      </c>
      <c r="K152" s="4" t="s">
        <v>534</v>
      </c>
      <c r="L152" s="5">
        <v>64200</v>
      </c>
    </row>
    <row r="153" spans="1:12" ht="30" x14ac:dyDescent="0.25">
      <c r="A153" s="3" t="s">
        <v>12</v>
      </c>
      <c r="B153" s="4" t="s">
        <v>465</v>
      </c>
      <c r="C153" s="4" t="s">
        <v>25</v>
      </c>
      <c r="D153" s="4" t="s">
        <v>26</v>
      </c>
      <c r="E153" s="5" t="str">
        <f>"9210022"</f>
        <v>9210022</v>
      </c>
      <c r="F153" s="3" t="s">
        <v>535</v>
      </c>
      <c r="G153" s="5">
        <v>2591025260</v>
      </c>
      <c r="H153" s="4" t="s">
        <v>536</v>
      </c>
      <c r="I153" s="4" t="s">
        <v>503</v>
      </c>
      <c r="J153" s="4" t="s">
        <v>533</v>
      </c>
      <c r="K153" s="4" t="s">
        <v>537</v>
      </c>
      <c r="L153" s="5">
        <v>64200</v>
      </c>
    </row>
    <row r="154" spans="1:12" ht="30" x14ac:dyDescent="0.25">
      <c r="A154" s="3" t="s">
        <v>12</v>
      </c>
      <c r="B154" s="4" t="s">
        <v>465</v>
      </c>
      <c r="C154" s="4" t="s">
        <v>25</v>
      </c>
      <c r="D154" s="4" t="s">
        <v>26</v>
      </c>
      <c r="E154" s="5" t="str">
        <f>"9210050"</f>
        <v>9210050</v>
      </c>
      <c r="F154" s="3" t="s">
        <v>538</v>
      </c>
      <c r="G154" s="5">
        <v>2591062054</v>
      </c>
      <c r="H154" s="4" t="s">
        <v>539</v>
      </c>
      <c r="I154" s="4" t="s">
        <v>503</v>
      </c>
      <c r="J154" s="4" t="s">
        <v>540</v>
      </c>
      <c r="K154" s="4" t="s">
        <v>541</v>
      </c>
      <c r="L154" s="5">
        <v>64200</v>
      </c>
    </row>
    <row r="155" spans="1:12" ht="30" x14ac:dyDescent="0.25">
      <c r="A155" s="3" t="s">
        <v>12</v>
      </c>
      <c r="B155" s="4" t="s">
        <v>465</v>
      </c>
      <c r="C155" s="4" t="s">
        <v>25</v>
      </c>
      <c r="D155" s="4" t="s">
        <v>26</v>
      </c>
      <c r="E155" s="5" t="str">
        <f>"9210078"</f>
        <v>9210078</v>
      </c>
      <c r="F155" s="3" t="s">
        <v>542</v>
      </c>
      <c r="G155" s="5">
        <v>2592021065</v>
      </c>
      <c r="H155" s="4" t="s">
        <v>543</v>
      </c>
      <c r="I155" s="4" t="s">
        <v>498</v>
      </c>
      <c r="J155" s="4" t="s">
        <v>544</v>
      </c>
      <c r="K155" s="4" t="s">
        <v>545</v>
      </c>
      <c r="L155" s="5">
        <v>64100</v>
      </c>
    </row>
    <row r="156" spans="1:12" ht="30" x14ac:dyDescent="0.25">
      <c r="A156" s="3" t="s">
        <v>12</v>
      </c>
      <c r="B156" s="4" t="s">
        <v>465</v>
      </c>
      <c r="C156" s="4" t="s">
        <v>14</v>
      </c>
      <c r="D156" s="4" t="s">
        <v>15</v>
      </c>
      <c r="E156" s="5" t="str">
        <f>"9210051"</f>
        <v>9210051</v>
      </c>
      <c r="F156" s="3" t="s">
        <v>546</v>
      </c>
      <c r="G156" s="5">
        <v>2591061252</v>
      </c>
      <c r="H156" s="4" t="s">
        <v>547</v>
      </c>
      <c r="I156" s="4" t="s">
        <v>503</v>
      </c>
      <c r="J156" s="4" t="s">
        <v>541</v>
      </c>
      <c r="K156" s="4" t="s">
        <v>548</v>
      </c>
      <c r="L156" s="5">
        <v>64200</v>
      </c>
    </row>
    <row r="157" spans="1:12" ht="30" x14ac:dyDescent="0.25">
      <c r="A157" s="3" t="s">
        <v>12</v>
      </c>
      <c r="B157" s="4" t="s">
        <v>465</v>
      </c>
      <c r="C157" s="4" t="s">
        <v>25</v>
      </c>
      <c r="D157" s="4" t="s">
        <v>26</v>
      </c>
      <c r="E157" s="5" t="str">
        <f>"9210010"</f>
        <v>9210010</v>
      </c>
      <c r="F157" s="3" t="s">
        <v>549</v>
      </c>
      <c r="G157" s="5">
        <v>2510224402</v>
      </c>
      <c r="H157" s="4" t="s">
        <v>550</v>
      </c>
      <c r="I157" s="4" t="s">
        <v>468</v>
      </c>
      <c r="J157" s="4" t="s">
        <v>468</v>
      </c>
      <c r="K157" s="4" t="s">
        <v>551</v>
      </c>
      <c r="L157" s="5">
        <v>65201</v>
      </c>
    </row>
    <row r="158" spans="1:12" ht="30" x14ac:dyDescent="0.25">
      <c r="A158" s="3" t="s">
        <v>12</v>
      </c>
      <c r="B158" s="4" t="s">
        <v>465</v>
      </c>
      <c r="C158" s="4" t="s">
        <v>25</v>
      </c>
      <c r="D158" s="4" t="s">
        <v>26</v>
      </c>
      <c r="E158" s="5" t="str">
        <f>"9210161"</f>
        <v>9210161</v>
      </c>
      <c r="F158" s="3" t="s">
        <v>552</v>
      </c>
      <c r="G158" s="5">
        <v>2510516250</v>
      </c>
      <c r="H158" s="4" t="s">
        <v>553</v>
      </c>
      <c r="I158" s="4" t="s">
        <v>468</v>
      </c>
      <c r="J158" s="4" t="s">
        <v>554</v>
      </c>
      <c r="K158" s="4" t="s">
        <v>555</v>
      </c>
      <c r="L158" s="5">
        <v>64003</v>
      </c>
    </row>
    <row r="159" spans="1:12" ht="30" x14ac:dyDescent="0.25">
      <c r="A159" s="3" t="s">
        <v>12</v>
      </c>
      <c r="B159" s="4" t="s">
        <v>465</v>
      </c>
      <c r="C159" s="4" t="s">
        <v>14</v>
      </c>
      <c r="D159" s="4" t="s">
        <v>15</v>
      </c>
      <c r="E159" s="5" t="str">
        <f>"9210147"</f>
        <v>9210147</v>
      </c>
      <c r="F159" s="3" t="s">
        <v>556</v>
      </c>
      <c r="G159" s="5">
        <v>2513500623</v>
      </c>
      <c r="H159" s="4" t="s">
        <v>557</v>
      </c>
      <c r="I159" s="4" t="s">
        <v>468</v>
      </c>
      <c r="J159" s="4" t="s">
        <v>494</v>
      </c>
      <c r="K159" s="4" t="s">
        <v>558</v>
      </c>
      <c r="L159" s="5">
        <v>65404</v>
      </c>
    </row>
    <row r="160" spans="1:12" ht="30" x14ac:dyDescent="0.25">
      <c r="A160" s="3" t="s">
        <v>12</v>
      </c>
      <c r="B160" s="4" t="s">
        <v>465</v>
      </c>
      <c r="C160" s="4" t="s">
        <v>25</v>
      </c>
      <c r="D160" s="4" t="s">
        <v>26</v>
      </c>
      <c r="E160" s="5" t="str">
        <f>"9210178"</f>
        <v>9210178</v>
      </c>
      <c r="F160" s="3" t="s">
        <v>559</v>
      </c>
      <c r="G160" s="5">
        <v>2594350123</v>
      </c>
      <c r="H160" s="4" t="s">
        <v>560</v>
      </c>
      <c r="I160" s="4" t="s">
        <v>498</v>
      </c>
      <c r="J160" s="4" t="s">
        <v>561</v>
      </c>
      <c r="K160" s="4" t="s">
        <v>562</v>
      </c>
      <c r="L160" s="5">
        <v>64007</v>
      </c>
    </row>
    <row r="161" spans="1:12" ht="30" x14ac:dyDescent="0.25">
      <c r="A161" s="3" t="s">
        <v>12</v>
      </c>
      <c r="B161" s="4" t="s">
        <v>465</v>
      </c>
      <c r="C161" s="4" t="s">
        <v>14</v>
      </c>
      <c r="D161" s="4" t="s">
        <v>15</v>
      </c>
      <c r="E161" s="5" t="str">
        <f>"9210075"</f>
        <v>9210075</v>
      </c>
      <c r="F161" s="3" t="s">
        <v>563</v>
      </c>
      <c r="G161" s="5">
        <v>2592350758</v>
      </c>
      <c r="H161" s="4" t="s">
        <v>564</v>
      </c>
      <c r="I161" s="4" t="s">
        <v>498</v>
      </c>
      <c r="J161" s="4" t="s">
        <v>565</v>
      </c>
      <c r="K161" s="4" t="s">
        <v>566</v>
      </c>
      <c r="L161" s="5">
        <v>64100</v>
      </c>
    </row>
    <row r="162" spans="1:12" ht="30" x14ac:dyDescent="0.25">
      <c r="A162" s="3" t="s">
        <v>12</v>
      </c>
      <c r="B162" s="4" t="s">
        <v>465</v>
      </c>
      <c r="C162" s="4" t="s">
        <v>25</v>
      </c>
      <c r="D162" s="4" t="s">
        <v>26</v>
      </c>
      <c r="E162" s="5" t="str">
        <f>"9210197"</f>
        <v>9210197</v>
      </c>
      <c r="F162" s="3" t="s">
        <v>567</v>
      </c>
      <c r="G162" s="5">
        <v>2594350108</v>
      </c>
      <c r="H162" s="4" t="s">
        <v>568</v>
      </c>
      <c r="I162" s="4" t="s">
        <v>498</v>
      </c>
      <c r="J162" s="4" t="s">
        <v>569</v>
      </c>
      <c r="K162" s="4" t="s">
        <v>570</v>
      </c>
      <c r="L162" s="5">
        <v>64007</v>
      </c>
    </row>
    <row r="163" spans="1:12" ht="30" x14ac:dyDescent="0.25">
      <c r="A163" s="3" t="s">
        <v>12</v>
      </c>
      <c r="B163" s="4" t="s">
        <v>465</v>
      </c>
      <c r="C163" s="4" t="s">
        <v>14</v>
      </c>
      <c r="D163" s="4" t="s">
        <v>15</v>
      </c>
      <c r="E163" s="5" t="str">
        <f>"9210073"</f>
        <v>9210073</v>
      </c>
      <c r="F163" s="3" t="s">
        <v>571</v>
      </c>
      <c r="G163" s="5">
        <v>2510224832</v>
      </c>
      <c r="H163" s="4" t="s">
        <v>572</v>
      </c>
      <c r="I163" s="4" t="s">
        <v>468</v>
      </c>
      <c r="J163" s="4" t="s">
        <v>494</v>
      </c>
      <c r="K163" s="4" t="s">
        <v>573</v>
      </c>
      <c r="L163" s="5">
        <v>65302</v>
      </c>
    </row>
    <row r="164" spans="1:12" ht="30" x14ac:dyDescent="0.25">
      <c r="A164" s="3" t="s">
        <v>12</v>
      </c>
      <c r="B164" s="4" t="s">
        <v>465</v>
      </c>
      <c r="C164" s="4" t="s">
        <v>25</v>
      </c>
      <c r="D164" s="4" t="s">
        <v>26</v>
      </c>
      <c r="E164" s="5" t="str">
        <f>"9210252"</f>
        <v>9210252</v>
      </c>
      <c r="F164" s="3" t="s">
        <v>574</v>
      </c>
      <c r="G164" s="5">
        <v>2593023629</v>
      </c>
      <c r="H164" s="4" t="s">
        <v>575</v>
      </c>
      <c r="I164" s="4" t="s">
        <v>514</v>
      </c>
      <c r="J164" s="4" t="s">
        <v>514</v>
      </c>
      <c r="K164" s="4" t="s">
        <v>576</v>
      </c>
      <c r="L164" s="5">
        <v>64004</v>
      </c>
    </row>
    <row r="165" spans="1:12" ht="30" x14ac:dyDescent="0.25">
      <c r="A165" s="3" t="s">
        <v>12</v>
      </c>
      <c r="B165" s="4" t="s">
        <v>465</v>
      </c>
      <c r="C165" s="4" t="s">
        <v>25</v>
      </c>
      <c r="D165" s="4" t="s">
        <v>26</v>
      </c>
      <c r="E165" s="5" t="str">
        <f>"9210026"</f>
        <v>9210026</v>
      </c>
      <c r="F165" s="3" t="s">
        <v>577</v>
      </c>
      <c r="G165" s="5">
        <v>2591022330</v>
      </c>
      <c r="H165" s="4" t="s">
        <v>578</v>
      </c>
      <c r="I165" s="4" t="s">
        <v>503</v>
      </c>
      <c r="J165" s="4" t="s">
        <v>533</v>
      </c>
      <c r="K165" s="4" t="s">
        <v>579</v>
      </c>
      <c r="L165" s="5">
        <v>64200</v>
      </c>
    </row>
    <row r="166" spans="1:12" ht="30" x14ac:dyDescent="0.25">
      <c r="A166" s="3" t="s">
        <v>12</v>
      </c>
      <c r="B166" s="4" t="s">
        <v>465</v>
      </c>
      <c r="C166" s="4" t="s">
        <v>14</v>
      </c>
      <c r="D166" s="4" t="s">
        <v>15</v>
      </c>
      <c r="E166" s="5" t="str">
        <f>"9210143"</f>
        <v>9210143</v>
      </c>
      <c r="F166" s="3" t="s">
        <v>580</v>
      </c>
      <c r="G166" s="5">
        <v>2510222320</v>
      </c>
      <c r="H166" s="4" t="s">
        <v>581</v>
      </c>
      <c r="I166" s="4" t="s">
        <v>468</v>
      </c>
      <c r="J166" s="4" t="s">
        <v>582</v>
      </c>
      <c r="K166" s="4" t="s">
        <v>523</v>
      </c>
      <c r="L166" s="5">
        <v>65403</v>
      </c>
    </row>
    <row r="167" spans="1:12" ht="30" x14ac:dyDescent="0.25">
      <c r="A167" s="3" t="s">
        <v>12</v>
      </c>
      <c r="B167" s="4" t="s">
        <v>465</v>
      </c>
      <c r="C167" s="4" t="s">
        <v>14</v>
      </c>
      <c r="D167" s="4" t="s">
        <v>15</v>
      </c>
      <c r="E167" s="5" t="str">
        <f>"9210154"</f>
        <v>9210154</v>
      </c>
      <c r="F167" s="3" t="s">
        <v>583</v>
      </c>
      <c r="G167" s="5">
        <v>2510391256</v>
      </c>
      <c r="H167" s="4" t="s">
        <v>584</v>
      </c>
      <c r="I167" s="4" t="s">
        <v>468</v>
      </c>
      <c r="J167" s="4" t="s">
        <v>585</v>
      </c>
      <c r="K167" s="4" t="s">
        <v>586</v>
      </c>
      <c r="L167" s="5">
        <v>64012</v>
      </c>
    </row>
    <row r="168" spans="1:12" ht="30" x14ac:dyDescent="0.25">
      <c r="A168" s="3" t="s">
        <v>12</v>
      </c>
      <c r="B168" s="4" t="s">
        <v>465</v>
      </c>
      <c r="C168" s="4" t="s">
        <v>14</v>
      </c>
      <c r="D168" s="4" t="s">
        <v>15</v>
      </c>
      <c r="E168" s="5" t="str">
        <f>"9210040"</f>
        <v>9210040</v>
      </c>
      <c r="F168" s="3" t="s">
        <v>587</v>
      </c>
      <c r="G168" s="5">
        <v>2591051214</v>
      </c>
      <c r="H168" s="4" t="s">
        <v>588</v>
      </c>
      <c r="I168" s="4" t="s">
        <v>503</v>
      </c>
      <c r="J168" s="4" t="s">
        <v>589</v>
      </c>
      <c r="K168" s="4" t="s">
        <v>590</v>
      </c>
      <c r="L168" s="5">
        <v>64200</v>
      </c>
    </row>
    <row r="169" spans="1:12" ht="30" x14ac:dyDescent="0.25">
      <c r="A169" s="3" t="s">
        <v>12</v>
      </c>
      <c r="B169" s="4" t="s">
        <v>465</v>
      </c>
      <c r="C169" s="4" t="s">
        <v>14</v>
      </c>
      <c r="D169" s="4" t="s">
        <v>15</v>
      </c>
      <c r="E169" s="5" t="str">
        <f>"9210255"</f>
        <v>9210255</v>
      </c>
      <c r="F169" s="3" t="s">
        <v>591</v>
      </c>
      <c r="G169" s="5">
        <v>2510247620</v>
      </c>
      <c r="H169" s="4" t="s">
        <v>592</v>
      </c>
      <c r="I169" s="4" t="s">
        <v>468</v>
      </c>
      <c r="J169" s="4" t="s">
        <v>494</v>
      </c>
      <c r="K169" s="4" t="s">
        <v>593</v>
      </c>
      <c r="L169" s="5">
        <v>65404</v>
      </c>
    </row>
    <row r="170" spans="1:12" ht="30" x14ac:dyDescent="0.25">
      <c r="A170" s="3" t="s">
        <v>12</v>
      </c>
      <c r="B170" s="4" t="s">
        <v>465</v>
      </c>
      <c r="C170" s="4" t="s">
        <v>14</v>
      </c>
      <c r="D170" s="4" t="s">
        <v>15</v>
      </c>
      <c r="E170" s="5" t="str">
        <f>"9210162"</f>
        <v>9210162</v>
      </c>
      <c r="F170" s="3" t="s">
        <v>594</v>
      </c>
      <c r="G170" s="5">
        <v>2510516787</v>
      </c>
      <c r="H170" s="4" t="s">
        <v>595</v>
      </c>
      <c r="I170" s="4" t="s">
        <v>468</v>
      </c>
      <c r="J170" s="4" t="s">
        <v>526</v>
      </c>
      <c r="K170" s="4" t="s">
        <v>596</v>
      </c>
      <c r="L170" s="5">
        <v>64003</v>
      </c>
    </row>
    <row r="171" spans="1:12" ht="30" x14ac:dyDescent="0.25">
      <c r="A171" s="3" t="s">
        <v>12</v>
      </c>
      <c r="B171" s="4" t="s">
        <v>465</v>
      </c>
      <c r="C171" s="4" t="s">
        <v>25</v>
      </c>
      <c r="D171" s="4" t="s">
        <v>26</v>
      </c>
      <c r="E171" s="5" t="str">
        <f>"9210117"</f>
        <v>9210117</v>
      </c>
      <c r="F171" s="3" t="s">
        <v>597</v>
      </c>
      <c r="G171" s="5">
        <v>2592350738</v>
      </c>
      <c r="H171" s="4" t="s">
        <v>598</v>
      </c>
      <c r="I171" s="4" t="s">
        <v>498</v>
      </c>
      <c r="J171" s="4" t="s">
        <v>599</v>
      </c>
      <c r="K171" s="4" t="s">
        <v>600</v>
      </c>
      <c r="L171" s="5">
        <v>64008</v>
      </c>
    </row>
    <row r="172" spans="1:12" ht="30" x14ac:dyDescent="0.25">
      <c r="A172" s="3" t="s">
        <v>12</v>
      </c>
      <c r="B172" s="4" t="s">
        <v>465</v>
      </c>
      <c r="C172" s="4" t="s">
        <v>14</v>
      </c>
      <c r="D172" s="4" t="s">
        <v>15</v>
      </c>
      <c r="E172" s="5" t="str">
        <f>"9520624"</f>
        <v>9520624</v>
      </c>
      <c r="F172" s="3" t="s">
        <v>601</v>
      </c>
      <c r="G172" s="5">
        <v>2593350304</v>
      </c>
      <c r="H172" s="4" t="s">
        <v>602</v>
      </c>
      <c r="I172" s="4" t="s">
        <v>514</v>
      </c>
      <c r="J172" s="4" t="s">
        <v>576</v>
      </c>
      <c r="K172" s="4" t="s">
        <v>576</v>
      </c>
      <c r="L172" s="5">
        <v>64004</v>
      </c>
    </row>
    <row r="173" spans="1:12" ht="30" x14ac:dyDescent="0.25">
      <c r="A173" s="3" t="s">
        <v>12</v>
      </c>
      <c r="B173" s="4" t="s">
        <v>465</v>
      </c>
      <c r="C173" s="4" t="s">
        <v>25</v>
      </c>
      <c r="D173" s="4" t="s">
        <v>26</v>
      </c>
      <c r="E173" s="5" t="str">
        <f>"9210222"</f>
        <v>9210222</v>
      </c>
      <c r="F173" s="3" t="s">
        <v>603</v>
      </c>
      <c r="G173" s="5">
        <v>2591022811</v>
      </c>
      <c r="H173" s="4" t="s">
        <v>604</v>
      </c>
      <c r="I173" s="4" t="s">
        <v>503</v>
      </c>
      <c r="J173" s="4" t="s">
        <v>533</v>
      </c>
      <c r="K173" s="4" t="s">
        <v>605</v>
      </c>
      <c r="L173" s="5">
        <v>64200</v>
      </c>
    </row>
    <row r="174" spans="1:12" ht="30" x14ac:dyDescent="0.25">
      <c r="A174" s="3" t="s">
        <v>12</v>
      </c>
      <c r="B174" s="4" t="s">
        <v>465</v>
      </c>
      <c r="C174" s="4" t="s">
        <v>14</v>
      </c>
      <c r="D174" s="4" t="s">
        <v>15</v>
      </c>
      <c r="E174" s="5" t="str">
        <f>"9210065"</f>
        <v>9210065</v>
      </c>
      <c r="F174" s="3" t="s">
        <v>606</v>
      </c>
      <c r="G174" s="5">
        <v>2510223035</v>
      </c>
      <c r="H174" s="4" t="s">
        <v>607</v>
      </c>
      <c r="I174" s="4" t="s">
        <v>468</v>
      </c>
      <c r="J174" s="4" t="s">
        <v>494</v>
      </c>
      <c r="K174" s="4" t="s">
        <v>608</v>
      </c>
      <c r="L174" s="5">
        <v>65403</v>
      </c>
    </row>
    <row r="175" spans="1:12" ht="30" x14ac:dyDescent="0.25">
      <c r="A175" s="3" t="s">
        <v>12</v>
      </c>
      <c r="B175" s="4" t="s">
        <v>465</v>
      </c>
      <c r="C175" s="4" t="s">
        <v>14</v>
      </c>
      <c r="D175" s="4" t="s">
        <v>15</v>
      </c>
      <c r="E175" s="5" t="str">
        <f>"9210179"</f>
        <v>9210179</v>
      </c>
      <c r="F175" s="3" t="s">
        <v>609</v>
      </c>
      <c r="G175" s="5">
        <v>2594350122</v>
      </c>
      <c r="H175" s="4" t="s">
        <v>610</v>
      </c>
      <c r="I175" s="4" t="s">
        <v>498</v>
      </c>
      <c r="J175" s="4" t="s">
        <v>562</v>
      </c>
      <c r="K175" s="4" t="s">
        <v>562</v>
      </c>
      <c r="L175" s="5">
        <v>64007</v>
      </c>
    </row>
    <row r="176" spans="1:12" ht="30" x14ac:dyDescent="0.25">
      <c r="A176" s="3" t="s">
        <v>12</v>
      </c>
      <c r="B176" s="4" t="s">
        <v>465</v>
      </c>
      <c r="C176" s="4" t="s">
        <v>14</v>
      </c>
      <c r="D176" s="4" t="s">
        <v>15</v>
      </c>
      <c r="E176" s="5" t="str">
        <f>"9210180"</f>
        <v>9210180</v>
      </c>
      <c r="F176" s="3" t="s">
        <v>611</v>
      </c>
      <c r="G176" s="5">
        <v>2594350105</v>
      </c>
      <c r="H176" s="4" t="s">
        <v>612</v>
      </c>
      <c r="I176" s="4" t="s">
        <v>498</v>
      </c>
      <c r="J176" s="4" t="s">
        <v>613</v>
      </c>
      <c r="K176" s="4" t="s">
        <v>613</v>
      </c>
      <c r="L176" s="5">
        <v>64007</v>
      </c>
    </row>
    <row r="177" spans="1:12" ht="30" x14ac:dyDescent="0.25">
      <c r="A177" s="3" t="s">
        <v>12</v>
      </c>
      <c r="B177" s="4" t="s">
        <v>465</v>
      </c>
      <c r="C177" s="4" t="s">
        <v>14</v>
      </c>
      <c r="D177" s="4" t="s">
        <v>179</v>
      </c>
      <c r="E177" s="5" t="str">
        <f>"9210256"</f>
        <v>9210256</v>
      </c>
      <c r="F177" s="3" t="s">
        <v>614</v>
      </c>
      <c r="G177" s="5">
        <v>2592350776</v>
      </c>
      <c r="H177" s="4" t="s">
        <v>615</v>
      </c>
      <c r="I177" s="4" t="s">
        <v>498</v>
      </c>
      <c r="J177" s="4" t="s">
        <v>616</v>
      </c>
      <c r="K177" s="4" t="s">
        <v>617</v>
      </c>
      <c r="L177" s="5">
        <v>64001</v>
      </c>
    </row>
    <row r="178" spans="1:12" ht="30" x14ac:dyDescent="0.25">
      <c r="A178" s="3" t="s">
        <v>12</v>
      </c>
      <c r="B178" s="4" t="s">
        <v>465</v>
      </c>
      <c r="C178" s="4" t="s">
        <v>14</v>
      </c>
      <c r="D178" s="4" t="s">
        <v>15</v>
      </c>
      <c r="E178" s="5" t="str">
        <f>"9210158"</f>
        <v>9210158</v>
      </c>
      <c r="F178" s="3" t="s">
        <v>618</v>
      </c>
      <c r="G178" s="5">
        <v>2513500648</v>
      </c>
      <c r="H178" s="4" t="s">
        <v>619</v>
      </c>
      <c r="I178" s="4" t="s">
        <v>498</v>
      </c>
      <c r="J178" s="4" t="s">
        <v>620</v>
      </c>
      <c r="K178" s="4" t="s">
        <v>621</v>
      </c>
      <c r="L178" s="5">
        <v>64100</v>
      </c>
    </row>
    <row r="179" spans="1:12" ht="30" x14ac:dyDescent="0.25">
      <c r="A179" s="3" t="s">
        <v>12</v>
      </c>
      <c r="B179" s="4" t="s">
        <v>465</v>
      </c>
      <c r="C179" s="4" t="s">
        <v>14</v>
      </c>
      <c r="D179" s="4" t="s">
        <v>15</v>
      </c>
      <c r="E179" s="5" t="str">
        <f>"9210116"</f>
        <v>9210116</v>
      </c>
      <c r="F179" s="3" t="s">
        <v>622</v>
      </c>
      <c r="G179" s="5">
        <v>2592350739</v>
      </c>
      <c r="H179" s="4" t="s">
        <v>623</v>
      </c>
      <c r="I179" s="4" t="s">
        <v>498</v>
      </c>
      <c r="J179" s="4" t="s">
        <v>600</v>
      </c>
      <c r="K179" s="4" t="s">
        <v>600</v>
      </c>
      <c r="L179" s="5">
        <v>64008</v>
      </c>
    </row>
    <row r="180" spans="1:12" ht="30" x14ac:dyDescent="0.25">
      <c r="A180" s="3" t="s">
        <v>12</v>
      </c>
      <c r="B180" s="4" t="s">
        <v>465</v>
      </c>
      <c r="C180" s="4" t="s">
        <v>14</v>
      </c>
      <c r="D180" s="4" t="s">
        <v>15</v>
      </c>
      <c r="E180" s="5" t="str">
        <f>"9210110"</f>
        <v>9210110</v>
      </c>
      <c r="F180" s="3" t="s">
        <v>624</v>
      </c>
      <c r="G180" s="5">
        <v>2592350747</v>
      </c>
      <c r="H180" s="4" t="s">
        <v>625</v>
      </c>
      <c r="I180" s="4" t="s">
        <v>498</v>
      </c>
      <c r="J180" s="4" t="s">
        <v>626</v>
      </c>
      <c r="K180" s="4" t="s">
        <v>627</v>
      </c>
      <c r="L180" s="5">
        <v>64008</v>
      </c>
    </row>
    <row r="181" spans="1:12" ht="30" x14ac:dyDescent="0.25">
      <c r="A181" s="3" t="s">
        <v>12</v>
      </c>
      <c r="B181" s="4" t="s">
        <v>465</v>
      </c>
      <c r="C181" s="4" t="s">
        <v>14</v>
      </c>
      <c r="D181" s="4" t="s">
        <v>15</v>
      </c>
      <c r="E181" s="5" t="str">
        <f>"9210072"</f>
        <v>9210072</v>
      </c>
      <c r="F181" s="3" t="s">
        <v>628</v>
      </c>
      <c r="G181" s="5">
        <v>2510222811</v>
      </c>
      <c r="H181" s="4" t="s">
        <v>629</v>
      </c>
      <c r="I181" s="4" t="s">
        <v>468</v>
      </c>
      <c r="J181" s="4" t="s">
        <v>494</v>
      </c>
      <c r="K181" s="4" t="s">
        <v>630</v>
      </c>
      <c r="L181" s="5">
        <v>65302</v>
      </c>
    </row>
    <row r="182" spans="1:12" ht="30" x14ac:dyDescent="0.25">
      <c r="A182" s="3" t="s">
        <v>12</v>
      </c>
      <c r="B182" s="4" t="s">
        <v>465</v>
      </c>
      <c r="C182" s="4" t="s">
        <v>25</v>
      </c>
      <c r="D182" s="4" t="s">
        <v>26</v>
      </c>
      <c r="E182" s="5" t="str">
        <f>"9210122"</f>
        <v>9210122</v>
      </c>
      <c r="F182" s="3" t="s">
        <v>631</v>
      </c>
      <c r="G182" s="5">
        <v>2593350305</v>
      </c>
      <c r="H182" s="4" t="s">
        <v>632</v>
      </c>
      <c r="I182" s="4" t="s">
        <v>514</v>
      </c>
      <c r="J182" s="4" t="s">
        <v>514</v>
      </c>
      <c r="K182" s="4" t="s">
        <v>576</v>
      </c>
      <c r="L182" s="5">
        <v>64004</v>
      </c>
    </row>
    <row r="183" spans="1:12" ht="30" x14ac:dyDescent="0.25">
      <c r="A183" s="3" t="s">
        <v>12</v>
      </c>
      <c r="B183" s="4" t="s">
        <v>465</v>
      </c>
      <c r="C183" s="4" t="s">
        <v>25</v>
      </c>
      <c r="D183" s="4" t="s">
        <v>26</v>
      </c>
      <c r="E183" s="5" t="str">
        <f>"9210131"</f>
        <v>9210131</v>
      </c>
      <c r="F183" s="3" t="s">
        <v>633</v>
      </c>
      <c r="G183" s="5">
        <v>2593052922</v>
      </c>
      <c r="H183" s="4" t="s">
        <v>634</v>
      </c>
      <c r="I183" s="4" t="s">
        <v>514</v>
      </c>
      <c r="J183" s="4" t="s">
        <v>635</v>
      </c>
      <c r="K183" s="4" t="s">
        <v>636</v>
      </c>
      <c r="L183" s="5">
        <v>64002</v>
      </c>
    </row>
    <row r="184" spans="1:12" ht="30" x14ac:dyDescent="0.25">
      <c r="A184" s="3" t="s">
        <v>12</v>
      </c>
      <c r="B184" s="4" t="s">
        <v>465</v>
      </c>
      <c r="C184" s="4" t="s">
        <v>14</v>
      </c>
      <c r="D184" s="4" t="s">
        <v>15</v>
      </c>
      <c r="E184" s="5" t="str">
        <f>"9210077"</f>
        <v>9210077</v>
      </c>
      <c r="F184" s="3" t="s">
        <v>637</v>
      </c>
      <c r="G184" s="5">
        <v>2592350808</v>
      </c>
      <c r="H184" s="4" t="s">
        <v>638</v>
      </c>
      <c r="I184" s="4" t="s">
        <v>498</v>
      </c>
      <c r="J184" s="4" t="s">
        <v>639</v>
      </c>
      <c r="K184" s="4" t="s">
        <v>640</v>
      </c>
      <c r="L184" s="5">
        <v>64100</v>
      </c>
    </row>
    <row r="185" spans="1:12" ht="30" x14ac:dyDescent="0.25">
      <c r="A185" s="3" t="s">
        <v>12</v>
      </c>
      <c r="B185" s="4" t="s">
        <v>465</v>
      </c>
      <c r="C185" s="4" t="s">
        <v>14</v>
      </c>
      <c r="D185" s="4" t="s">
        <v>15</v>
      </c>
      <c r="E185" s="5" t="str">
        <f>"9210212"</f>
        <v>9210212</v>
      </c>
      <c r="F185" s="3" t="s">
        <v>641</v>
      </c>
      <c r="G185" s="5">
        <v>2591023360</v>
      </c>
      <c r="H185" s="4" t="s">
        <v>642</v>
      </c>
      <c r="I185" s="4" t="s">
        <v>503</v>
      </c>
      <c r="J185" s="4" t="s">
        <v>643</v>
      </c>
      <c r="K185" s="4" t="s">
        <v>644</v>
      </c>
      <c r="L185" s="5">
        <v>64200</v>
      </c>
    </row>
    <row r="186" spans="1:12" ht="30" x14ac:dyDescent="0.25">
      <c r="A186" s="3" t="s">
        <v>12</v>
      </c>
      <c r="B186" s="4" t="s">
        <v>465</v>
      </c>
      <c r="C186" s="4" t="s">
        <v>14</v>
      </c>
      <c r="D186" s="4" t="s">
        <v>15</v>
      </c>
      <c r="E186" s="5" t="str">
        <f>"9210148"</f>
        <v>9210148</v>
      </c>
      <c r="F186" s="3" t="s">
        <v>645</v>
      </c>
      <c r="G186" s="5">
        <v>2510244945</v>
      </c>
      <c r="H186" s="4" t="s">
        <v>646</v>
      </c>
      <c r="I186" s="4" t="s">
        <v>468</v>
      </c>
      <c r="J186" s="4" t="s">
        <v>468</v>
      </c>
      <c r="K186" s="4" t="s">
        <v>647</v>
      </c>
      <c r="L186" s="5">
        <v>65404</v>
      </c>
    </row>
    <row r="187" spans="1:12" ht="30" x14ac:dyDescent="0.25">
      <c r="A187" s="3" t="s">
        <v>12</v>
      </c>
      <c r="B187" s="4" t="s">
        <v>465</v>
      </c>
      <c r="C187" s="4" t="s">
        <v>14</v>
      </c>
      <c r="D187" s="4" t="s">
        <v>15</v>
      </c>
      <c r="E187" s="5" t="str">
        <f>"9210149"</f>
        <v>9210149</v>
      </c>
      <c r="F187" s="3" t="s">
        <v>648</v>
      </c>
      <c r="G187" s="5">
        <v>2510244582</v>
      </c>
      <c r="H187" s="4" t="s">
        <v>649</v>
      </c>
      <c r="I187" s="4" t="s">
        <v>468</v>
      </c>
      <c r="J187" s="4" t="s">
        <v>494</v>
      </c>
      <c r="K187" s="4" t="s">
        <v>650</v>
      </c>
      <c r="L187" s="5">
        <v>65404</v>
      </c>
    </row>
    <row r="188" spans="1:12" ht="30" x14ac:dyDescent="0.25">
      <c r="A188" s="3" t="s">
        <v>12</v>
      </c>
      <c r="B188" s="4" t="s">
        <v>465</v>
      </c>
      <c r="C188" s="4" t="s">
        <v>14</v>
      </c>
      <c r="D188" s="4" t="s">
        <v>15</v>
      </c>
      <c r="E188" s="5" t="str">
        <f>"9210183"</f>
        <v>9210183</v>
      </c>
      <c r="F188" s="3" t="s">
        <v>651</v>
      </c>
      <c r="G188" s="5">
        <v>2594350104</v>
      </c>
      <c r="H188" s="4" t="s">
        <v>652</v>
      </c>
      <c r="I188" s="4" t="s">
        <v>498</v>
      </c>
      <c r="J188" s="4" t="s">
        <v>653</v>
      </c>
      <c r="K188" s="4" t="s">
        <v>654</v>
      </c>
      <c r="L188" s="5">
        <v>64007</v>
      </c>
    </row>
    <row r="189" spans="1:12" ht="30" x14ac:dyDescent="0.25">
      <c r="A189" s="3" t="s">
        <v>12</v>
      </c>
      <c r="B189" s="4" t="s">
        <v>465</v>
      </c>
      <c r="C189" s="4" t="s">
        <v>25</v>
      </c>
      <c r="D189" s="4" t="s">
        <v>26</v>
      </c>
      <c r="E189" s="5" t="str">
        <f>"9210204"</f>
        <v>9210204</v>
      </c>
      <c r="F189" s="3" t="s">
        <v>655</v>
      </c>
      <c r="G189" s="5">
        <v>2593071190</v>
      </c>
      <c r="H189" s="4" t="s">
        <v>656</v>
      </c>
      <c r="I189" s="4" t="s">
        <v>514</v>
      </c>
      <c r="J189" s="4" t="s">
        <v>657</v>
      </c>
      <c r="K189" s="4" t="s">
        <v>658</v>
      </c>
      <c r="L189" s="5">
        <v>64010</v>
      </c>
    </row>
    <row r="190" spans="1:12" ht="30" x14ac:dyDescent="0.25">
      <c r="A190" s="3" t="s">
        <v>12</v>
      </c>
      <c r="B190" s="4" t="s">
        <v>465</v>
      </c>
      <c r="C190" s="4" t="s">
        <v>14</v>
      </c>
      <c r="D190" s="4" t="s">
        <v>15</v>
      </c>
      <c r="E190" s="5" t="str">
        <f>"9210213"</f>
        <v>9210213</v>
      </c>
      <c r="F190" s="3" t="s">
        <v>659</v>
      </c>
      <c r="G190" s="5">
        <v>2510833922</v>
      </c>
      <c r="H190" s="4" t="s">
        <v>660</v>
      </c>
      <c r="I190" s="4" t="s">
        <v>468</v>
      </c>
      <c r="J190" s="4" t="s">
        <v>494</v>
      </c>
      <c r="K190" s="4" t="s">
        <v>661</v>
      </c>
      <c r="L190" s="5">
        <v>65403</v>
      </c>
    </row>
    <row r="191" spans="1:12" ht="30" x14ac:dyDescent="0.25">
      <c r="A191" s="3" t="s">
        <v>12</v>
      </c>
      <c r="B191" s="4" t="s">
        <v>465</v>
      </c>
      <c r="C191" s="4" t="s">
        <v>14</v>
      </c>
      <c r="D191" s="4" t="s">
        <v>15</v>
      </c>
      <c r="E191" s="5" t="str">
        <f>"9210009"</f>
        <v>9210009</v>
      </c>
      <c r="F191" s="3" t="s">
        <v>662</v>
      </c>
      <c r="G191" s="5">
        <v>2510223839</v>
      </c>
      <c r="H191" s="4" t="s">
        <v>663</v>
      </c>
      <c r="I191" s="4" t="s">
        <v>468</v>
      </c>
      <c r="J191" s="4" t="s">
        <v>494</v>
      </c>
      <c r="K191" s="4" t="s">
        <v>664</v>
      </c>
      <c r="L191" s="5">
        <v>65201</v>
      </c>
    </row>
    <row r="192" spans="1:12" ht="30" x14ac:dyDescent="0.25">
      <c r="A192" s="3" t="s">
        <v>12</v>
      </c>
      <c r="B192" s="4" t="s">
        <v>465</v>
      </c>
      <c r="C192" s="4" t="s">
        <v>14</v>
      </c>
      <c r="D192" s="4" t="s">
        <v>15</v>
      </c>
      <c r="E192" s="5" t="str">
        <f>"9210254"</f>
        <v>9210254</v>
      </c>
      <c r="F192" s="3" t="s">
        <v>665</v>
      </c>
      <c r="G192" s="5">
        <v>2510247287</v>
      </c>
      <c r="H192" s="4" t="s">
        <v>666</v>
      </c>
      <c r="I192" s="4" t="s">
        <v>468</v>
      </c>
      <c r="J192" s="4" t="s">
        <v>494</v>
      </c>
      <c r="K192" s="4" t="s">
        <v>667</v>
      </c>
      <c r="L192" s="5">
        <v>65403</v>
      </c>
    </row>
    <row r="193" spans="1:12" ht="30" x14ac:dyDescent="0.25">
      <c r="A193" s="3" t="s">
        <v>12</v>
      </c>
      <c r="B193" s="4" t="s">
        <v>465</v>
      </c>
      <c r="C193" s="4" t="s">
        <v>14</v>
      </c>
      <c r="D193" s="4" t="s">
        <v>15</v>
      </c>
      <c r="E193" s="5" t="str">
        <f>"9210028"</f>
        <v>9210028</v>
      </c>
      <c r="F193" s="3" t="s">
        <v>668</v>
      </c>
      <c r="G193" s="5">
        <v>2591056246</v>
      </c>
      <c r="H193" s="4" t="s">
        <v>669</v>
      </c>
      <c r="I193" s="4" t="s">
        <v>503</v>
      </c>
      <c r="J193" s="4" t="s">
        <v>670</v>
      </c>
      <c r="K193" s="4" t="s">
        <v>670</v>
      </c>
      <c r="L193" s="5">
        <v>64200</v>
      </c>
    </row>
    <row r="194" spans="1:12" ht="30" x14ac:dyDescent="0.25">
      <c r="A194" s="3" t="s">
        <v>12</v>
      </c>
      <c r="B194" s="4" t="s">
        <v>465</v>
      </c>
      <c r="C194" s="4" t="s">
        <v>14</v>
      </c>
      <c r="D194" s="4" t="s">
        <v>15</v>
      </c>
      <c r="E194" s="5" t="str">
        <f>"9210031"</f>
        <v>9210031</v>
      </c>
      <c r="F194" s="3" t="s">
        <v>671</v>
      </c>
      <c r="G194" s="5">
        <v>2591041241</v>
      </c>
      <c r="H194" s="4" t="s">
        <v>672</v>
      </c>
      <c r="I194" s="4" t="s">
        <v>503</v>
      </c>
      <c r="J194" s="4" t="s">
        <v>673</v>
      </c>
      <c r="K194" s="4" t="s">
        <v>673</v>
      </c>
      <c r="L194" s="5">
        <v>64200</v>
      </c>
    </row>
    <row r="195" spans="1:12" ht="30" x14ac:dyDescent="0.25">
      <c r="A195" s="3" t="s">
        <v>12</v>
      </c>
      <c r="B195" s="4" t="s">
        <v>465</v>
      </c>
      <c r="C195" s="4" t="s">
        <v>14</v>
      </c>
      <c r="D195" s="4" t="s">
        <v>15</v>
      </c>
      <c r="E195" s="5" t="str">
        <f>"9210063"</f>
        <v>9210063</v>
      </c>
      <c r="F195" s="3" t="s">
        <v>674</v>
      </c>
      <c r="G195" s="5">
        <v>2591061236</v>
      </c>
      <c r="H195" s="4" t="s">
        <v>675</v>
      </c>
      <c r="I195" s="4" t="s">
        <v>503</v>
      </c>
      <c r="J195" s="4" t="s">
        <v>676</v>
      </c>
      <c r="K195" s="4" t="s">
        <v>677</v>
      </c>
      <c r="L195" s="5">
        <v>64200</v>
      </c>
    </row>
    <row r="196" spans="1:12" ht="30" x14ac:dyDescent="0.25">
      <c r="A196" s="3" t="s">
        <v>12</v>
      </c>
      <c r="B196" s="4" t="s">
        <v>465</v>
      </c>
      <c r="C196" s="4" t="s">
        <v>14</v>
      </c>
      <c r="D196" s="4" t="s">
        <v>15</v>
      </c>
      <c r="E196" s="5" t="str">
        <f>"9210019"</f>
        <v>9210019</v>
      </c>
      <c r="F196" s="3" t="s">
        <v>678</v>
      </c>
      <c r="G196" s="5">
        <v>2591022178</v>
      </c>
      <c r="H196" s="4" t="s">
        <v>679</v>
      </c>
      <c r="I196" s="4" t="s">
        <v>503</v>
      </c>
      <c r="J196" s="4" t="s">
        <v>504</v>
      </c>
      <c r="K196" s="4" t="s">
        <v>579</v>
      </c>
      <c r="L196" s="5">
        <v>64200</v>
      </c>
    </row>
    <row r="197" spans="1:12" ht="30" x14ac:dyDescent="0.25">
      <c r="A197" s="3" t="s">
        <v>12</v>
      </c>
      <c r="B197" s="4" t="s">
        <v>465</v>
      </c>
      <c r="C197" s="4" t="s">
        <v>14</v>
      </c>
      <c r="D197" s="4" t="s">
        <v>15</v>
      </c>
      <c r="E197" s="5" t="str">
        <f>"9210191"</f>
        <v>9210191</v>
      </c>
      <c r="F197" s="3" t="s">
        <v>680</v>
      </c>
      <c r="G197" s="5">
        <v>2510244560</v>
      </c>
      <c r="H197" s="4" t="s">
        <v>681</v>
      </c>
      <c r="I197" s="4" t="s">
        <v>468</v>
      </c>
      <c r="J197" s="4" t="s">
        <v>682</v>
      </c>
      <c r="K197" s="4" t="s">
        <v>683</v>
      </c>
      <c r="L197" s="5">
        <v>65404</v>
      </c>
    </row>
    <row r="198" spans="1:12" ht="30" x14ac:dyDescent="0.25">
      <c r="A198" s="3" t="s">
        <v>12</v>
      </c>
      <c r="B198" s="4" t="s">
        <v>465</v>
      </c>
      <c r="C198" s="4" t="s">
        <v>14</v>
      </c>
      <c r="D198" s="4" t="s">
        <v>15</v>
      </c>
      <c r="E198" s="5" t="str">
        <f>"9210137"</f>
        <v>9210137</v>
      </c>
      <c r="F198" s="3" t="s">
        <v>684</v>
      </c>
      <c r="G198" s="5">
        <v>2593071232</v>
      </c>
      <c r="H198" s="4" t="s">
        <v>685</v>
      </c>
      <c r="I198" s="4" t="s">
        <v>514</v>
      </c>
      <c r="J198" s="4" t="s">
        <v>686</v>
      </c>
      <c r="K198" s="4" t="s">
        <v>658</v>
      </c>
      <c r="L198" s="5">
        <v>64010</v>
      </c>
    </row>
    <row r="199" spans="1:12" ht="30" x14ac:dyDescent="0.25">
      <c r="A199" s="3" t="s">
        <v>12</v>
      </c>
      <c r="B199" s="4" t="s">
        <v>465</v>
      </c>
      <c r="C199" s="4" t="s">
        <v>14</v>
      </c>
      <c r="D199" s="4" t="s">
        <v>15</v>
      </c>
      <c r="E199" s="5" t="str">
        <f>"9210036"</f>
        <v>9210036</v>
      </c>
      <c r="F199" s="3" t="s">
        <v>687</v>
      </c>
      <c r="G199" s="5">
        <v>2591053141</v>
      </c>
      <c r="H199" s="4" t="s">
        <v>688</v>
      </c>
      <c r="I199" s="4" t="s">
        <v>503</v>
      </c>
      <c r="J199" s="4" t="s">
        <v>689</v>
      </c>
      <c r="K199" s="4" t="s">
        <v>689</v>
      </c>
      <c r="L199" s="5">
        <v>64200</v>
      </c>
    </row>
    <row r="200" spans="1:12" ht="30" x14ac:dyDescent="0.25">
      <c r="A200" s="3" t="s">
        <v>12</v>
      </c>
      <c r="B200" s="4" t="s">
        <v>465</v>
      </c>
      <c r="C200" s="4" t="s">
        <v>14</v>
      </c>
      <c r="D200" s="4" t="s">
        <v>15</v>
      </c>
      <c r="E200" s="5" t="str">
        <f>"9210136"</f>
        <v>9210136</v>
      </c>
      <c r="F200" s="3" t="s">
        <v>690</v>
      </c>
      <c r="G200" s="5">
        <v>2593061314</v>
      </c>
      <c r="H200" s="4" t="s">
        <v>691</v>
      </c>
      <c r="I200" s="4" t="s">
        <v>514</v>
      </c>
      <c r="J200" s="4" t="s">
        <v>576</v>
      </c>
      <c r="K200" s="4" t="s">
        <v>692</v>
      </c>
      <c r="L200" s="5">
        <v>64004</v>
      </c>
    </row>
    <row r="201" spans="1:12" ht="30" x14ac:dyDescent="0.25">
      <c r="A201" s="3" t="s">
        <v>12</v>
      </c>
      <c r="B201" s="4" t="s">
        <v>465</v>
      </c>
      <c r="C201" s="4" t="s">
        <v>14</v>
      </c>
      <c r="D201" s="4" t="s">
        <v>15</v>
      </c>
      <c r="E201" s="5" t="str">
        <f>"9210157"</f>
        <v>9210157</v>
      </c>
      <c r="F201" s="3" t="s">
        <v>693</v>
      </c>
      <c r="G201" s="5">
        <v>2510611203</v>
      </c>
      <c r="H201" s="4" t="s">
        <v>694</v>
      </c>
      <c r="I201" s="4" t="s">
        <v>468</v>
      </c>
      <c r="J201" s="4" t="s">
        <v>695</v>
      </c>
      <c r="K201" s="4" t="s">
        <v>695</v>
      </c>
      <c r="L201" s="5">
        <v>64003</v>
      </c>
    </row>
    <row r="202" spans="1:12" ht="30" x14ac:dyDescent="0.25">
      <c r="A202" s="3" t="s">
        <v>12</v>
      </c>
      <c r="B202" s="4" t="s">
        <v>465</v>
      </c>
      <c r="C202" s="4" t="s">
        <v>14</v>
      </c>
      <c r="D202" s="4" t="s">
        <v>15</v>
      </c>
      <c r="E202" s="5" t="str">
        <f>"9210013"</f>
        <v>9210013</v>
      </c>
      <c r="F202" s="3" t="s">
        <v>696</v>
      </c>
      <c r="G202" s="5">
        <v>2510222833</v>
      </c>
      <c r="H202" s="4" t="s">
        <v>697</v>
      </c>
      <c r="I202" s="4" t="s">
        <v>468</v>
      </c>
      <c r="J202" s="4" t="s">
        <v>494</v>
      </c>
      <c r="K202" s="4" t="s">
        <v>698</v>
      </c>
      <c r="L202" s="5">
        <v>65201</v>
      </c>
    </row>
    <row r="203" spans="1:12" ht="30" x14ac:dyDescent="0.25">
      <c r="A203" s="3" t="s">
        <v>12</v>
      </c>
      <c r="B203" s="4" t="s">
        <v>465</v>
      </c>
      <c r="C203" s="4" t="s">
        <v>14</v>
      </c>
      <c r="D203" s="4" t="s">
        <v>15</v>
      </c>
      <c r="E203" s="5" t="str">
        <f>"9210015"</f>
        <v>9210015</v>
      </c>
      <c r="F203" s="3" t="s">
        <v>699</v>
      </c>
      <c r="G203" s="5">
        <v>2513500622</v>
      </c>
      <c r="H203" s="4" t="s">
        <v>700</v>
      </c>
      <c r="I203" s="4" t="s">
        <v>468</v>
      </c>
      <c r="J203" s="4" t="s">
        <v>701</v>
      </c>
      <c r="K203" s="4" t="s">
        <v>701</v>
      </c>
      <c r="L203" s="5">
        <v>64006</v>
      </c>
    </row>
    <row r="204" spans="1:12" ht="30" x14ac:dyDescent="0.25">
      <c r="A204" s="3" t="s">
        <v>12</v>
      </c>
      <c r="B204" s="4" t="s">
        <v>465</v>
      </c>
      <c r="C204" s="4" t="s">
        <v>14</v>
      </c>
      <c r="D204" s="4" t="s">
        <v>15</v>
      </c>
      <c r="E204" s="5" t="str">
        <f>"9210130"</f>
        <v>9210130</v>
      </c>
      <c r="F204" s="3" t="s">
        <v>702</v>
      </c>
      <c r="G204" s="5">
        <v>2593051243</v>
      </c>
      <c r="H204" s="4" t="s">
        <v>703</v>
      </c>
      <c r="I204" s="4" t="s">
        <v>514</v>
      </c>
      <c r="J204" s="4" t="s">
        <v>704</v>
      </c>
      <c r="K204" s="4" t="s">
        <v>704</v>
      </c>
      <c r="L204" s="5">
        <v>64002</v>
      </c>
    </row>
    <row r="205" spans="1:12" ht="30" x14ac:dyDescent="0.25">
      <c r="A205" s="3" t="s">
        <v>12</v>
      </c>
      <c r="B205" s="4" t="s">
        <v>465</v>
      </c>
      <c r="C205" s="4" t="s">
        <v>14</v>
      </c>
      <c r="D205" s="4" t="s">
        <v>15</v>
      </c>
      <c r="E205" s="5" t="str">
        <f>"9210146"</f>
        <v>9210146</v>
      </c>
      <c r="F205" s="3" t="s">
        <v>705</v>
      </c>
      <c r="G205" s="5">
        <v>2510225427</v>
      </c>
      <c r="H205" s="4" t="s">
        <v>706</v>
      </c>
      <c r="I205" s="4" t="s">
        <v>468</v>
      </c>
      <c r="J205" s="4" t="s">
        <v>494</v>
      </c>
      <c r="K205" s="4" t="s">
        <v>707</v>
      </c>
      <c r="L205" s="5">
        <v>65403</v>
      </c>
    </row>
    <row r="206" spans="1:12" ht="30" x14ac:dyDescent="0.25">
      <c r="A206" s="3" t="s">
        <v>12</v>
      </c>
      <c r="B206" s="4" t="s">
        <v>465</v>
      </c>
      <c r="C206" s="4" t="s">
        <v>14</v>
      </c>
      <c r="D206" s="4" t="s">
        <v>15</v>
      </c>
      <c r="E206" s="5" t="str">
        <f>"9210071"</f>
        <v>9210071</v>
      </c>
      <c r="F206" s="3" t="s">
        <v>708</v>
      </c>
      <c r="G206" s="5">
        <v>2510224463</v>
      </c>
      <c r="H206" s="4" t="s">
        <v>709</v>
      </c>
      <c r="I206" s="4" t="s">
        <v>468</v>
      </c>
      <c r="J206" s="4" t="s">
        <v>710</v>
      </c>
      <c r="K206" s="4" t="s">
        <v>711</v>
      </c>
      <c r="L206" s="5">
        <v>65302</v>
      </c>
    </row>
    <row r="207" spans="1:12" ht="30" x14ac:dyDescent="0.25">
      <c r="A207" s="3" t="s">
        <v>12</v>
      </c>
      <c r="B207" s="4" t="s">
        <v>465</v>
      </c>
      <c r="C207" s="4" t="s">
        <v>14</v>
      </c>
      <c r="D207" s="4" t="s">
        <v>15</v>
      </c>
      <c r="E207" s="5" t="str">
        <f>"9210023"</f>
        <v>9210023</v>
      </c>
      <c r="F207" s="3" t="s">
        <v>712</v>
      </c>
      <c r="G207" s="5">
        <v>2591022683</v>
      </c>
      <c r="H207" s="4" t="s">
        <v>713</v>
      </c>
      <c r="I207" s="4" t="s">
        <v>503</v>
      </c>
      <c r="J207" s="4" t="s">
        <v>504</v>
      </c>
      <c r="K207" s="4" t="s">
        <v>714</v>
      </c>
      <c r="L207" s="5">
        <v>64200</v>
      </c>
    </row>
    <row r="208" spans="1:12" ht="30" x14ac:dyDescent="0.25">
      <c r="A208" s="3" t="s">
        <v>12</v>
      </c>
      <c r="B208" s="4" t="s">
        <v>465</v>
      </c>
      <c r="C208" s="4" t="s">
        <v>25</v>
      </c>
      <c r="D208" s="4" t="s">
        <v>26</v>
      </c>
      <c r="E208" s="5" t="str">
        <f>"9210132"</f>
        <v>9210132</v>
      </c>
      <c r="F208" s="3" t="s">
        <v>715</v>
      </c>
      <c r="G208" s="5">
        <v>2593053223</v>
      </c>
      <c r="H208" s="4" t="s">
        <v>716</v>
      </c>
      <c r="I208" s="4" t="s">
        <v>514</v>
      </c>
      <c r="J208" s="4" t="s">
        <v>635</v>
      </c>
      <c r="K208" s="4" t="s">
        <v>636</v>
      </c>
      <c r="L208" s="5">
        <v>64002</v>
      </c>
    </row>
    <row r="209" spans="1:12" ht="30" x14ac:dyDescent="0.25">
      <c r="A209" s="3" t="s">
        <v>12</v>
      </c>
      <c r="B209" s="4" t="s">
        <v>465</v>
      </c>
      <c r="C209" s="4" t="s">
        <v>14</v>
      </c>
      <c r="D209" s="4" t="s">
        <v>15</v>
      </c>
      <c r="E209" s="5" t="str">
        <f>"9210014"</f>
        <v>9210014</v>
      </c>
      <c r="F209" s="3" t="s">
        <v>717</v>
      </c>
      <c r="G209" s="5">
        <v>2510228120</v>
      </c>
      <c r="H209" s="4" t="s">
        <v>718</v>
      </c>
      <c r="I209" s="4" t="s">
        <v>468</v>
      </c>
      <c r="J209" s="4" t="s">
        <v>710</v>
      </c>
      <c r="K209" s="4" t="s">
        <v>488</v>
      </c>
      <c r="L209" s="5">
        <v>65201</v>
      </c>
    </row>
    <row r="210" spans="1:12" ht="30" x14ac:dyDescent="0.25">
      <c r="A210" s="3" t="s">
        <v>12</v>
      </c>
      <c r="B210" s="4" t="s">
        <v>465</v>
      </c>
      <c r="C210" s="4" t="s">
        <v>14</v>
      </c>
      <c r="D210" s="4" t="s">
        <v>15</v>
      </c>
      <c r="E210" s="5" t="str">
        <f>"9210150"</f>
        <v>9210150</v>
      </c>
      <c r="F210" s="3" t="s">
        <v>719</v>
      </c>
      <c r="G210" s="5">
        <v>2510441699</v>
      </c>
      <c r="H210" s="4" t="s">
        <v>720</v>
      </c>
      <c r="I210" s="4" t="s">
        <v>468</v>
      </c>
      <c r="J210" s="4" t="s">
        <v>721</v>
      </c>
      <c r="K210" s="4" t="s">
        <v>722</v>
      </c>
      <c r="L210" s="5">
        <v>65500</v>
      </c>
    </row>
    <row r="211" spans="1:12" ht="30" x14ac:dyDescent="0.25">
      <c r="A211" s="3" t="s">
        <v>12</v>
      </c>
      <c r="B211" s="4" t="s">
        <v>465</v>
      </c>
      <c r="C211" s="4" t="s">
        <v>14</v>
      </c>
      <c r="D211" s="4" t="s">
        <v>15</v>
      </c>
      <c r="E211" s="5" t="str">
        <f>"9521116"</f>
        <v>9521116</v>
      </c>
      <c r="F211" s="3" t="s">
        <v>723</v>
      </c>
      <c r="G211" s="5">
        <v>2594350114</v>
      </c>
      <c r="H211" s="4" t="s">
        <v>724</v>
      </c>
      <c r="I211" s="4" t="s">
        <v>498</v>
      </c>
      <c r="J211" s="4" t="s">
        <v>725</v>
      </c>
      <c r="K211" s="4" t="s">
        <v>726</v>
      </c>
      <c r="L211" s="5">
        <v>64007</v>
      </c>
    </row>
    <row r="212" spans="1:12" ht="30" x14ac:dyDescent="0.25">
      <c r="A212" s="3" t="s">
        <v>12</v>
      </c>
      <c r="B212" s="4" t="s">
        <v>465</v>
      </c>
      <c r="C212" s="4" t="s">
        <v>14</v>
      </c>
      <c r="D212" s="4" t="s">
        <v>15</v>
      </c>
      <c r="E212" s="5" t="str">
        <f>"9210123"</f>
        <v>9210123</v>
      </c>
      <c r="F212" s="3" t="s">
        <v>727</v>
      </c>
      <c r="G212" s="5">
        <v>2593022194</v>
      </c>
      <c r="H212" s="4" t="s">
        <v>728</v>
      </c>
      <c r="I212" s="4" t="s">
        <v>514</v>
      </c>
      <c r="J212" s="4" t="s">
        <v>729</v>
      </c>
      <c r="K212" s="4" t="s">
        <v>730</v>
      </c>
      <c r="L212" s="5">
        <v>64004</v>
      </c>
    </row>
    <row r="213" spans="1:12" ht="30" x14ac:dyDescent="0.25">
      <c r="A213" s="3" t="s">
        <v>12</v>
      </c>
      <c r="B213" s="4" t="s">
        <v>465</v>
      </c>
      <c r="C213" s="4" t="s">
        <v>14</v>
      </c>
      <c r="D213" s="4" t="s">
        <v>15</v>
      </c>
      <c r="E213" s="5" t="str">
        <f>"9210079"</f>
        <v>9210079</v>
      </c>
      <c r="F213" s="3" t="s">
        <v>731</v>
      </c>
      <c r="G213" s="5">
        <v>2592350727</v>
      </c>
      <c r="H213" s="4" t="s">
        <v>732</v>
      </c>
      <c r="I213" s="4" t="s">
        <v>498</v>
      </c>
      <c r="J213" s="4" t="s">
        <v>733</v>
      </c>
      <c r="K213" s="4" t="s">
        <v>734</v>
      </c>
      <c r="L213" s="5">
        <v>64100</v>
      </c>
    </row>
    <row r="214" spans="1:12" ht="30" x14ac:dyDescent="0.25">
      <c r="A214" s="3" t="s">
        <v>12</v>
      </c>
      <c r="B214" s="4" t="s">
        <v>465</v>
      </c>
      <c r="C214" s="4" t="s">
        <v>25</v>
      </c>
      <c r="D214" s="4" t="s">
        <v>26</v>
      </c>
      <c r="E214" s="5" t="str">
        <f>"9521535"</f>
        <v>9521535</v>
      </c>
      <c r="F214" s="3" t="s">
        <v>735</v>
      </c>
      <c r="G214" s="5">
        <v>2592350725</v>
      </c>
      <c r="H214" s="4" t="s">
        <v>736</v>
      </c>
      <c r="I214" s="4" t="s">
        <v>498</v>
      </c>
      <c r="J214" s="4" t="s">
        <v>544</v>
      </c>
      <c r="K214" s="4" t="s">
        <v>737</v>
      </c>
      <c r="L214" s="5">
        <v>64100</v>
      </c>
    </row>
    <row r="215" spans="1:12" ht="30" x14ac:dyDescent="0.25">
      <c r="A215" s="3" t="s">
        <v>12</v>
      </c>
      <c r="B215" s="4" t="s">
        <v>465</v>
      </c>
      <c r="C215" s="4" t="s">
        <v>14</v>
      </c>
      <c r="D215" s="4" t="s">
        <v>15</v>
      </c>
      <c r="E215" s="5" t="str">
        <f>"9210189"</f>
        <v>9210189</v>
      </c>
      <c r="F215" s="3" t="s">
        <v>738</v>
      </c>
      <c r="G215" s="5">
        <v>2510228111</v>
      </c>
      <c r="H215" s="4" t="s">
        <v>739</v>
      </c>
      <c r="I215" s="4" t="s">
        <v>468</v>
      </c>
      <c r="J215" s="4" t="s">
        <v>494</v>
      </c>
      <c r="K215" s="4" t="s">
        <v>740</v>
      </c>
      <c r="L215" s="5">
        <v>65201</v>
      </c>
    </row>
    <row r="216" spans="1:12" ht="30" x14ac:dyDescent="0.25">
      <c r="A216" s="3" t="s">
        <v>12</v>
      </c>
      <c r="B216" s="4" t="s">
        <v>741</v>
      </c>
      <c r="C216" s="4" t="s">
        <v>14</v>
      </c>
      <c r="D216" s="4" t="s">
        <v>15</v>
      </c>
      <c r="E216" s="5" t="str">
        <f>"9370253"</f>
        <v>9370253</v>
      </c>
      <c r="F216" s="3" t="s">
        <v>742</v>
      </c>
      <c r="G216" s="5">
        <v>2541020174</v>
      </c>
      <c r="H216" s="4" t="s">
        <v>743</v>
      </c>
      <c r="I216" s="4" t="s">
        <v>744</v>
      </c>
      <c r="J216" s="4" t="s">
        <v>745</v>
      </c>
      <c r="K216" s="4" t="s">
        <v>746</v>
      </c>
      <c r="L216" s="5">
        <v>67100</v>
      </c>
    </row>
    <row r="217" spans="1:12" ht="30" x14ac:dyDescent="0.25">
      <c r="A217" s="3" t="s">
        <v>12</v>
      </c>
      <c r="B217" s="4" t="s">
        <v>741</v>
      </c>
      <c r="C217" s="4" t="s">
        <v>14</v>
      </c>
      <c r="D217" s="4" t="s">
        <v>15</v>
      </c>
      <c r="E217" s="5" t="str">
        <f>"9370001"</f>
        <v>9370001</v>
      </c>
      <c r="F217" s="3" t="s">
        <v>747</v>
      </c>
      <c r="G217" s="5">
        <v>2541022477</v>
      </c>
      <c r="H217" s="4" t="s">
        <v>748</v>
      </c>
      <c r="I217" s="4" t="s">
        <v>744</v>
      </c>
      <c r="J217" s="4" t="s">
        <v>745</v>
      </c>
      <c r="K217" s="4" t="s">
        <v>749</v>
      </c>
      <c r="L217" s="5">
        <v>67132</v>
      </c>
    </row>
    <row r="218" spans="1:12" ht="30" x14ac:dyDescent="0.25">
      <c r="A218" s="3" t="s">
        <v>12</v>
      </c>
      <c r="B218" s="4" t="s">
        <v>741</v>
      </c>
      <c r="C218" s="4" t="s">
        <v>14</v>
      </c>
      <c r="D218" s="4" t="s">
        <v>345</v>
      </c>
      <c r="E218" s="5" t="str">
        <f>"9370109"</f>
        <v>9370109</v>
      </c>
      <c r="F218" s="3" t="s">
        <v>750</v>
      </c>
      <c r="G218" s="5">
        <v>2544022290</v>
      </c>
      <c r="H218" s="4" t="s">
        <v>751</v>
      </c>
      <c r="I218" s="4" t="s">
        <v>752</v>
      </c>
      <c r="J218" s="4" t="s">
        <v>753</v>
      </c>
      <c r="K218" s="4" t="s">
        <v>754</v>
      </c>
      <c r="L218" s="5">
        <v>67300</v>
      </c>
    </row>
    <row r="219" spans="1:12" ht="30" x14ac:dyDescent="0.25">
      <c r="A219" s="3" t="s">
        <v>12</v>
      </c>
      <c r="B219" s="4" t="s">
        <v>741</v>
      </c>
      <c r="C219" s="4" t="s">
        <v>14</v>
      </c>
      <c r="D219" s="4" t="s">
        <v>15</v>
      </c>
      <c r="E219" s="5" t="str">
        <f>"9370016"</f>
        <v>9370016</v>
      </c>
      <c r="F219" s="3" t="s">
        <v>755</v>
      </c>
      <c r="G219" s="5">
        <v>2541081250</v>
      </c>
      <c r="H219" s="4" t="s">
        <v>756</v>
      </c>
      <c r="I219" s="4" t="s">
        <v>757</v>
      </c>
      <c r="J219" s="4" t="s">
        <v>758</v>
      </c>
      <c r="K219" s="4" t="s">
        <v>758</v>
      </c>
      <c r="L219" s="5">
        <v>67064</v>
      </c>
    </row>
    <row r="220" spans="1:12" ht="30" x14ac:dyDescent="0.25">
      <c r="A220" s="3" t="s">
        <v>12</v>
      </c>
      <c r="B220" s="4" t="s">
        <v>741</v>
      </c>
      <c r="C220" s="4" t="s">
        <v>14</v>
      </c>
      <c r="D220" s="4" t="s">
        <v>15</v>
      </c>
      <c r="E220" s="5" t="str">
        <f>"9370006"</f>
        <v>9370006</v>
      </c>
      <c r="F220" s="3" t="s">
        <v>759</v>
      </c>
      <c r="G220" s="5">
        <v>2541022638</v>
      </c>
      <c r="H220" s="4" t="s">
        <v>760</v>
      </c>
      <c r="I220" s="4" t="s">
        <v>744</v>
      </c>
      <c r="J220" s="4" t="s">
        <v>745</v>
      </c>
      <c r="K220" s="4" t="s">
        <v>761</v>
      </c>
      <c r="L220" s="5">
        <v>67131</v>
      </c>
    </row>
    <row r="221" spans="1:12" ht="30" x14ac:dyDescent="0.25">
      <c r="A221" s="3" t="s">
        <v>12</v>
      </c>
      <c r="B221" s="4" t="s">
        <v>741</v>
      </c>
      <c r="C221" s="4" t="s">
        <v>14</v>
      </c>
      <c r="D221" s="4" t="s">
        <v>15</v>
      </c>
      <c r="E221" s="5" t="str">
        <f>"9370257"</f>
        <v>9370257</v>
      </c>
      <c r="F221" s="3" t="s">
        <v>762</v>
      </c>
      <c r="G221" s="5">
        <v>2541350428</v>
      </c>
      <c r="H221" s="4" t="s">
        <v>763</v>
      </c>
      <c r="I221" s="4" t="s">
        <v>744</v>
      </c>
      <c r="J221" s="4" t="s">
        <v>745</v>
      </c>
      <c r="K221" s="4" t="s">
        <v>764</v>
      </c>
      <c r="L221" s="5">
        <v>67100</v>
      </c>
    </row>
    <row r="222" spans="1:12" ht="30" x14ac:dyDescent="0.25">
      <c r="A222" s="3" t="s">
        <v>12</v>
      </c>
      <c r="B222" s="4" t="s">
        <v>741</v>
      </c>
      <c r="C222" s="4" t="s">
        <v>25</v>
      </c>
      <c r="D222" s="4" t="s">
        <v>26</v>
      </c>
      <c r="E222" s="5" t="str">
        <f>"9370005"</f>
        <v>9370005</v>
      </c>
      <c r="F222" s="3" t="s">
        <v>765</v>
      </c>
      <c r="G222" s="5">
        <v>2541025944</v>
      </c>
      <c r="H222" s="4" t="s">
        <v>766</v>
      </c>
      <c r="I222" s="4" t="s">
        <v>744</v>
      </c>
      <c r="J222" s="4" t="s">
        <v>745</v>
      </c>
      <c r="K222" s="4" t="s">
        <v>767</v>
      </c>
      <c r="L222" s="5">
        <v>67131</v>
      </c>
    </row>
    <row r="223" spans="1:12" ht="30" x14ac:dyDescent="0.25">
      <c r="A223" s="3" t="s">
        <v>12</v>
      </c>
      <c r="B223" s="4" t="s">
        <v>741</v>
      </c>
      <c r="C223" s="4" t="s">
        <v>14</v>
      </c>
      <c r="D223" s="4" t="s">
        <v>15</v>
      </c>
      <c r="E223" s="5" t="str">
        <f>"9370050"</f>
        <v>9370050</v>
      </c>
      <c r="F223" s="3" t="s">
        <v>768</v>
      </c>
      <c r="G223" s="5">
        <v>2541022620</v>
      </c>
      <c r="H223" s="4" t="s">
        <v>769</v>
      </c>
      <c r="I223" s="4" t="s">
        <v>744</v>
      </c>
      <c r="J223" s="4" t="s">
        <v>745</v>
      </c>
      <c r="K223" s="4" t="s">
        <v>770</v>
      </c>
      <c r="L223" s="5">
        <v>67133</v>
      </c>
    </row>
    <row r="224" spans="1:12" ht="30" x14ac:dyDescent="0.25">
      <c r="A224" s="3" t="s">
        <v>12</v>
      </c>
      <c r="B224" s="4" t="s">
        <v>741</v>
      </c>
      <c r="C224" s="4" t="s">
        <v>25</v>
      </c>
      <c r="D224" s="4" t="s">
        <v>26</v>
      </c>
      <c r="E224" s="5" t="str">
        <f>"9370240"</f>
        <v>9370240</v>
      </c>
      <c r="F224" s="3" t="s">
        <v>771</v>
      </c>
      <c r="G224" s="5">
        <v>2541021313</v>
      </c>
      <c r="H224" s="4" t="s">
        <v>772</v>
      </c>
      <c r="I224" s="4" t="s">
        <v>744</v>
      </c>
      <c r="J224" s="4" t="s">
        <v>745</v>
      </c>
      <c r="K224" s="4" t="s">
        <v>773</v>
      </c>
      <c r="L224" s="5">
        <v>67100</v>
      </c>
    </row>
    <row r="225" spans="1:12" ht="30" x14ac:dyDescent="0.25">
      <c r="A225" s="3" t="s">
        <v>12</v>
      </c>
      <c r="B225" s="4" t="s">
        <v>741</v>
      </c>
      <c r="C225" s="4" t="s">
        <v>25</v>
      </c>
      <c r="D225" s="4" t="s">
        <v>26</v>
      </c>
      <c r="E225" s="5" t="str">
        <f>"9370018"</f>
        <v>9370018</v>
      </c>
      <c r="F225" s="3" t="s">
        <v>774</v>
      </c>
      <c r="G225" s="5">
        <v>2541091166</v>
      </c>
      <c r="H225" s="4" t="s">
        <v>775</v>
      </c>
      <c r="I225" s="4" t="s">
        <v>757</v>
      </c>
      <c r="J225" s="4" t="s">
        <v>744</v>
      </c>
      <c r="K225" s="4" t="s">
        <v>776</v>
      </c>
      <c r="L225" s="5">
        <v>67100</v>
      </c>
    </row>
    <row r="226" spans="1:12" ht="30" x14ac:dyDescent="0.25">
      <c r="A226" s="3" t="s">
        <v>12</v>
      </c>
      <c r="B226" s="4" t="s">
        <v>741</v>
      </c>
      <c r="C226" s="4" t="s">
        <v>14</v>
      </c>
      <c r="D226" s="4" t="s">
        <v>438</v>
      </c>
      <c r="E226" s="5" t="str">
        <f>"9370106"</f>
        <v>9370106</v>
      </c>
      <c r="F226" s="3" t="s">
        <v>777</v>
      </c>
      <c r="G226" s="5">
        <v>2541023661</v>
      </c>
      <c r="H226" s="4" t="s">
        <v>778</v>
      </c>
      <c r="I226" s="4" t="s">
        <v>744</v>
      </c>
      <c r="J226" s="4" t="s">
        <v>745</v>
      </c>
      <c r="K226" s="4" t="s">
        <v>779</v>
      </c>
      <c r="L226" s="5">
        <v>67131</v>
      </c>
    </row>
    <row r="227" spans="1:12" ht="30" x14ac:dyDescent="0.25">
      <c r="A227" s="3" t="s">
        <v>12</v>
      </c>
      <c r="B227" s="4" t="s">
        <v>741</v>
      </c>
      <c r="C227" s="4" t="s">
        <v>25</v>
      </c>
      <c r="D227" s="4" t="s">
        <v>26</v>
      </c>
      <c r="E227" s="5" t="str">
        <f>"9370102"</f>
        <v>9370102</v>
      </c>
      <c r="F227" s="3" t="s">
        <v>780</v>
      </c>
      <c r="G227" s="5">
        <v>2541093881</v>
      </c>
      <c r="H227" s="4" t="s">
        <v>781</v>
      </c>
      <c r="I227" s="4" t="s">
        <v>782</v>
      </c>
      <c r="J227" s="4" t="s">
        <v>783</v>
      </c>
      <c r="K227" s="4" t="s">
        <v>783</v>
      </c>
      <c r="L227" s="5">
        <v>67150</v>
      </c>
    </row>
    <row r="228" spans="1:12" ht="30" x14ac:dyDescent="0.25">
      <c r="A228" s="3" t="s">
        <v>12</v>
      </c>
      <c r="B228" s="4" t="s">
        <v>741</v>
      </c>
      <c r="C228" s="4" t="s">
        <v>25</v>
      </c>
      <c r="D228" s="4" t="s">
        <v>26</v>
      </c>
      <c r="E228" s="5" t="str">
        <f>"9370230"</f>
        <v>9370230</v>
      </c>
      <c r="F228" s="3" t="s">
        <v>784</v>
      </c>
      <c r="G228" s="5">
        <v>2541091323</v>
      </c>
      <c r="H228" s="4" t="s">
        <v>785</v>
      </c>
      <c r="I228" s="4" t="s">
        <v>757</v>
      </c>
      <c r="J228" s="4"/>
      <c r="K228" s="4" t="s">
        <v>786</v>
      </c>
      <c r="L228" s="5">
        <v>67100</v>
      </c>
    </row>
    <row r="229" spans="1:12" ht="30" x14ac:dyDescent="0.25">
      <c r="A229" s="3" t="s">
        <v>12</v>
      </c>
      <c r="B229" s="4" t="s">
        <v>741</v>
      </c>
      <c r="C229" s="4" t="s">
        <v>25</v>
      </c>
      <c r="D229" s="4" t="s">
        <v>26</v>
      </c>
      <c r="E229" s="5" t="str">
        <f>"9370047"</f>
        <v>9370047</v>
      </c>
      <c r="F229" s="3" t="s">
        <v>787</v>
      </c>
      <c r="G229" s="5">
        <v>2541071819</v>
      </c>
      <c r="H229" s="4" t="s">
        <v>788</v>
      </c>
      <c r="I229" s="4" t="s">
        <v>744</v>
      </c>
      <c r="J229" s="4" t="s">
        <v>745</v>
      </c>
      <c r="K229" s="4" t="s">
        <v>789</v>
      </c>
      <c r="L229" s="5">
        <v>67100</v>
      </c>
    </row>
    <row r="230" spans="1:12" ht="30" x14ac:dyDescent="0.25">
      <c r="A230" s="3" t="s">
        <v>12</v>
      </c>
      <c r="B230" s="4" t="s">
        <v>741</v>
      </c>
      <c r="C230" s="4" t="s">
        <v>25</v>
      </c>
      <c r="D230" s="4" t="s">
        <v>26</v>
      </c>
      <c r="E230" s="5" t="str">
        <f>"9370051"</f>
        <v>9370051</v>
      </c>
      <c r="F230" s="3" t="s">
        <v>790</v>
      </c>
      <c r="G230" s="5">
        <v>2541023363</v>
      </c>
      <c r="H230" s="4" t="s">
        <v>791</v>
      </c>
      <c r="I230" s="4" t="s">
        <v>744</v>
      </c>
      <c r="J230" s="4" t="s">
        <v>745</v>
      </c>
      <c r="K230" s="4" t="s">
        <v>770</v>
      </c>
      <c r="L230" s="5">
        <v>67100</v>
      </c>
    </row>
    <row r="231" spans="1:12" ht="30" x14ac:dyDescent="0.25">
      <c r="A231" s="3" t="s">
        <v>12</v>
      </c>
      <c r="B231" s="4" t="s">
        <v>741</v>
      </c>
      <c r="C231" s="4" t="s">
        <v>25</v>
      </c>
      <c r="D231" s="4" t="s">
        <v>26</v>
      </c>
      <c r="E231" s="5" t="str">
        <f>"9370027"</f>
        <v>9370027</v>
      </c>
      <c r="F231" s="3" t="s">
        <v>792</v>
      </c>
      <c r="G231" s="5">
        <v>2541084339</v>
      </c>
      <c r="H231" s="4" t="s">
        <v>793</v>
      </c>
      <c r="I231" s="4" t="s">
        <v>744</v>
      </c>
      <c r="J231" s="4" t="s">
        <v>794</v>
      </c>
      <c r="K231" s="4" t="s">
        <v>794</v>
      </c>
      <c r="L231" s="5">
        <v>67100</v>
      </c>
    </row>
    <row r="232" spans="1:12" ht="30" x14ac:dyDescent="0.25">
      <c r="A232" s="3" t="s">
        <v>12</v>
      </c>
      <c r="B232" s="4" t="s">
        <v>741</v>
      </c>
      <c r="C232" s="4" t="s">
        <v>25</v>
      </c>
      <c r="D232" s="4" t="s">
        <v>26</v>
      </c>
      <c r="E232" s="5" t="str">
        <f>"9370049"</f>
        <v>9370049</v>
      </c>
      <c r="F232" s="3" t="s">
        <v>795</v>
      </c>
      <c r="G232" s="5">
        <v>2541026891</v>
      </c>
      <c r="H232" s="4" t="s">
        <v>796</v>
      </c>
      <c r="I232" s="4" t="s">
        <v>744</v>
      </c>
      <c r="J232" s="4" t="s">
        <v>745</v>
      </c>
      <c r="K232" s="4" t="s">
        <v>797</v>
      </c>
      <c r="L232" s="5">
        <v>67100</v>
      </c>
    </row>
    <row r="233" spans="1:12" ht="30" x14ac:dyDescent="0.25">
      <c r="A233" s="3" t="s">
        <v>12</v>
      </c>
      <c r="B233" s="4" t="s">
        <v>741</v>
      </c>
      <c r="C233" s="4" t="s">
        <v>25</v>
      </c>
      <c r="D233" s="4" t="s">
        <v>26</v>
      </c>
      <c r="E233" s="5" t="str">
        <f>"9370267"</f>
        <v>9370267</v>
      </c>
      <c r="F233" s="3" t="s">
        <v>798</v>
      </c>
      <c r="G233" s="5">
        <v>2541062267</v>
      </c>
      <c r="H233" s="4" t="s">
        <v>799</v>
      </c>
      <c r="I233" s="4" t="s">
        <v>744</v>
      </c>
      <c r="J233" s="4" t="s">
        <v>745</v>
      </c>
      <c r="K233" s="4" t="s">
        <v>800</v>
      </c>
      <c r="L233" s="5">
        <v>67133</v>
      </c>
    </row>
    <row r="234" spans="1:12" ht="30" x14ac:dyDescent="0.25">
      <c r="A234" s="3" t="s">
        <v>12</v>
      </c>
      <c r="B234" s="4" t="s">
        <v>741</v>
      </c>
      <c r="C234" s="4" t="s">
        <v>25</v>
      </c>
      <c r="D234" s="4" t="s">
        <v>26</v>
      </c>
      <c r="E234" s="5" t="str">
        <f>"9370272"</f>
        <v>9370272</v>
      </c>
      <c r="F234" s="3" t="s">
        <v>801</v>
      </c>
      <c r="G234" s="5">
        <v>2541062981</v>
      </c>
      <c r="H234" s="4" t="s">
        <v>802</v>
      </c>
      <c r="I234" s="4" t="s">
        <v>744</v>
      </c>
      <c r="J234" s="4" t="s">
        <v>745</v>
      </c>
      <c r="K234" s="4" t="s">
        <v>803</v>
      </c>
      <c r="L234" s="5">
        <v>67100</v>
      </c>
    </row>
    <row r="235" spans="1:12" ht="30" x14ac:dyDescent="0.25">
      <c r="A235" s="3" t="s">
        <v>12</v>
      </c>
      <c r="B235" s="4" t="s">
        <v>741</v>
      </c>
      <c r="C235" s="4" t="s">
        <v>14</v>
      </c>
      <c r="D235" s="4" t="s">
        <v>15</v>
      </c>
      <c r="E235" s="5" t="str">
        <f>"9370040"</f>
        <v>9370040</v>
      </c>
      <c r="F235" s="3" t="s">
        <v>804</v>
      </c>
      <c r="G235" s="5">
        <v>2541031205</v>
      </c>
      <c r="H235" s="4" t="s">
        <v>805</v>
      </c>
      <c r="I235" s="4" t="s">
        <v>757</v>
      </c>
      <c r="J235" s="4" t="s">
        <v>806</v>
      </c>
      <c r="K235" s="4" t="s">
        <v>807</v>
      </c>
      <c r="L235" s="5">
        <v>67064</v>
      </c>
    </row>
    <row r="236" spans="1:12" ht="30" x14ac:dyDescent="0.25">
      <c r="A236" s="3" t="s">
        <v>12</v>
      </c>
      <c r="B236" s="4" t="s">
        <v>741</v>
      </c>
      <c r="C236" s="4" t="s">
        <v>14</v>
      </c>
      <c r="D236" s="4" t="s">
        <v>15</v>
      </c>
      <c r="E236" s="5" t="str">
        <f>"9370101"</f>
        <v>9370101</v>
      </c>
      <c r="F236" s="3" t="s">
        <v>808</v>
      </c>
      <c r="G236" s="5">
        <v>2541093284</v>
      </c>
      <c r="H236" s="4" t="s">
        <v>809</v>
      </c>
      <c r="I236" s="4" t="s">
        <v>782</v>
      </c>
      <c r="J236" s="4" t="s">
        <v>810</v>
      </c>
      <c r="K236" s="4" t="s">
        <v>811</v>
      </c>
      <c r="L236" s="5">
        <v>67100</v>
      </c>
    </row>
    <row r="237" spans="1:12" ht="30" x14ac:dyDescent="0.25">
      <c r="A237" s="3" t="s">
        <v>12</v>
      </c>
      <c r="B237" s="4" t="s">
        <v>741</v>
      </c>
      <c r="C237" s="4" t="s">
        <v>25</v>
      </c>
      <c r="D237" s="4" t="s">
        <v>26</v>
      </c>
      <c r="E237" s="5" t="str">
        <f>"9370053"</f>
        <v>9370053</v>
      </c>
      <c r="F237" s="3" t="s">
        <v>812</v>
      </c>
      <c r="G237" s="5">
        <v>2541074232</v>
      </c>
      <c r="H237" s="4" t="s">
        <v>813</v>
      </c>
      <c r="I237" s="4" t="s">
        <v>744</v>
      </c>
      <c r="J237" s="4" t="s">
        <v>745</v>
      </c>
      <c r="K237" s="4" t="s">
        <v>814</v>
      </c>
      <c r="L237" s="5">
        <v>67133</v>
      </c>
    </row>
    <row r="238" spans="1:12" ht="30" x14ac:dyDescent="0.25">
      <c r="A238" s="3" t="s">
        <v>12</v>
      </c>
      <c r="B238" s="4" t="s">
        <v>741</v>
      </c>
      <c r="C238" s="4" t="s">
        <v>25</v>
      </c>
      <c r="D238" s="4" t="s">
        <v>26</v>
      </c>
      <c r="E238" s="5" t="str">
        <f>"9370008"</f>
        <v>9370008</v>
      </c>
      <c r="F238" s="3" t="s">
        <v>815</v>
      </c>
      <c r="G238" s="5">
        <v>2541022981</v>
      </c>
      <c r="H238" s="4" t="s">
        <v>816</v>
      </c>
      <c r="I238" s="4" t="s">
        <v>744</v>
      </c>
      <c r="J238" s="4" t="s">
        <v>745</v>
      </c>
      <c r="K238" s="4" t="s">
        <v>817</v>
      </c>
      <c r="L238" s="5">
        <v>67132</v>
      </c>
    </row>
    <row r="239" spans="1:12" ht="30" x14ac:dyDescent="0.25">
      <c r="A239" s="3" t="s">
        <v>12</v>
      </c>
      <c r="B239" s="4" t="s">
        <v>741</v>
      </c>
      <c r="C239" s="4" t="s">
        <v>25</v>
      </c>
      <c r="D239" s="4" t="s">
        <v>26</v>
      </c>
      <c r="E239" s="5" t="str">
        <f>"9370003"</f>
        <v>9370003</v>
      </c>
      <c r="F239" s="3" t="s">
        <v>818</v>
      </c>
      <c r="G239" s="5">
        <v>2541350437</v>
      </c>
      <c r="H239" s="4" t="s">
        <v>819</v>
      </c>
      <c r="I239" s="4" t="s">
        <v>744</v>
      </c>
      <c r="J239" s="4" t="s">
        <v>745</v>
      </c>
      <c r="K239" s="4" t="s">
        <v>820</v>
      </c>
      <c r="L239" s="5">
        <v>67132</v>
      </c>
    </row>
    <row r="240" spans="1:12" ht="30" x14ac:dyDescent="0.25">
      <c r="A240" s="3" t="s">
        <v>12</v>
      </c>
      <c r="B240" s="4" t="s">
        <v>741</v>
      </c>
      <c r="C240" s="4" t="s">
        <v>25</v>
      </c>
      <c r="D240" s="4" t="s">
        <v>821</v>
      </c>
      <c r="E240" s="5" t="str">
        <f>"9370255"</f>
        <v>9370255</v>
      </c>
      <c r="F240" s="3" t="s">
        <v>822</v>
      </c>
      <c r="G240" s="5">
        <v>2541020666</v>
      </c>
      <c r="H240" s="4" t="s">
        <v>823</v>
      </c>
      <c r="I240" s="4" t="s">
        <v>744</v>
      </c>
      <c r="J240" s="4" t="s">
        <v>745</v>
      </c>
      <c r="K240" s="4" t="s">
        <v>746</v>
      </c>
      <c r="L240" s="5">
        <v>67100</v>
      </c>
    </row>
    <row r="241" spans="1:12" ht="30" x14ac:dyDescent="0.25">
      <c r="A241" s="3" t="s">
        <v>12</v>
      </c>
      <c r="B241" s="4" t="s">
        <v>741</v>
      </c>
      <c r="C241" s="4" t="s">
        <v>25</v>
      </c>
      <c r="D241" s="4" t="s">
        <v>26</v>
      </c>
      <c r="E241" s="5" t="str">
        <f>"9370226"</f>
        <v>9370226</v>
      </c>
      <c r="F241" s="3" t="s">
        <v>824</v>
      </c>
      <c r="G241" s="5">
        <v>2541031300</v>
      </c>
      <c r="H241" s="4" t="s">
        <v>825</v>
      </c>
      <c r="I241" s="4" t="s">
        <v>757</v>
      </c>
      <c r="J241" s="4" t="s">
        <v>826</v>
      </c>
      <c r="K241" s="4" t="s">
        <v>826</v>
      </c>
      <c r="L241" s="5">
        <v>67100</v>
      </c>
    </row>
    <row r="242" spans="1:12" ht="30" x14ac:dyDescent="0.25">
      <c r="A242" s="3" t="s">
        <v>12</v>
      </c>
      <c r="B242" s="4" t="s">
        <v>741</v>
      </c>
      <c r="C242" s="4" t="s">
        <v>25</v>
      </c>
      <c r="D242" s="4" t="s">
        <v>26</v>
      </c>
      <c r="E242" s="5" t="str">
        <f>"9370054"</f>
        <v>9370054</v>
      </c>
      <c r="F242" s="3" t="s">
        <v>827</v>
      </c>
      <c r="G242" s="5">
        <v>2541072169</v>
      </c>
      <c r="H242" s="4" t="s">
        <v>828</v>
      </c>
      <c r="I242" s="4" t="s">
        <v>744</v>
      </c>
      <c r="J242" s="4" t="s">
        <v>745</v>
      </c>
      <c r="K242" s="4" t="s">
        <v>829</v>
      </c>
      <c r="L242" s="5">
        <v>67100</v>
      </c>
    </row>
    <row r="243" spans="1:12" ht="30" x14ac:dyDescent="0.25">
      <c r="A243" s="3" t="s">
        <v>12</v>
      </c>
      <c r="B243" s="4" t="s">
        <v>741</v>
      </c>
      <c r="C243" s="4" t="s">
        <v>14</v>
      </c>
      <c r="D243" s="4" t="s">
        <v>830</v>
      </c>
      <c r="E243" s="5" t="str">
        <f>"9370271"</f>
        <v>9370271</v>
      </c>
      <c r="F243" s="3" t="s">
        <v>831</v>
      </c>
      <c r="G243" s="5">
        <v>2541066110</v>
      </c>
      <c r="H243" s="4" t="s">
        <v>832</v>
      </c>
      <c r="I243" s="4" t="s">
        <v>744</v>
      </c>
      <c r="J243" s="4" t="s">
        <v>745</v>
      </c>
      <c r="K243" s="4" t="s">
        <v>833</v>
      </c>
      <c r="L243" s="5">
        <v>67100</v>
      </c>
    </row>
    <row r="244" spans="1:12" ht="30" x14ac:dyDescent="0.25">
      <c r="A244" s="3" t="s">
        <v>12</v>
      </c>
      <c r="B244" s="4" t="s">
        <v>741</v>
      </c>
      <c r="C244" s="4" t="s">
        <v>14</v>
      </c>
      <c r="D244" s="4" t="s">
        <v>15</v>
      </c>
      <c r="E244" s="5" t="str">
        <f>"9370266"</f>
        <v>9370266</v>
      </c>
      <c r="F244" s="3" t="s">
        <v>834</v>
      </c>
      <c r="G244" s="5">
        <v>2541077782</v>
      </c>
      <c r="H244" s="4" t="s">
        <v>835</v>
      </c>
      <c r="I244" s="4" t="s">
        <v>744</v>
      </c>
      <c r="J244" s="4" t="s">
        <v>836</v>
      </c>
      <c r="K244" s="4" t="s">
        <v>800</v>
      </c>
      <c r="L244" s="5">
        <v>67100</v>
      </c>
    </row>
    <row r="245" spans="1:12" ht="30" x14ac:dyDescent="0.25">
      <c r="A245" s="3" t="s">
        <v>12</v>
      </c>
      <c r="B245" s="4" t="s">
        <v>741</v>
      </c>
      <c r="C245" s="4" t="s">
        <v>25</v>
      </c>
      <c r="D245" s="4" t="s">
        <v>26</v>
      </c>
      <c r="E245" s="5" t="str">
        <f>"9370010"</f>
        <v>9370010</v>
      </c>
      <c r="F245" s="3" t="s">
        <v>837</v>
      </c>
      <c r="G245" s="5">
        <v>2541051625</v>
      </c>
      <c r="H245" s="4" t="s">
        <v>838</v>
      </c>
      <c r="I245" s="4" t="s">
        <v>757</v>
      </c>
      <c r="J245" s="4" t="s">
        <v>839</v>
      </c>
      <c r="K245" s="4" t="s">
        <v>839</v>
      </c>
      <c r="L245" s="5">
        <v>67061</v>
      </c>
    </row>
    <row r="246" spans="1:12" ht="30" x14ac:dyDescent="0.25">
      <c r="A246" s="3" t="s">
        <v>12</v>
      </c>
      <c r="B246" s="4" t="s">
        <v>741</v>
      </c>
      <c r="C246" s="4" t="s">
        <v>14</v>
      </c>
      <c r="D246" s="4" t="s">
        <v>15</v>
      </c>
      <c r="E246" s="5" t="str">
        <f>"9520729"</f>
        <v>9520729</v>
      </c>
      <c r="F246" s="3" t="s">
        <v>840</v>
      </c>
      <c r="G246" s="5">
        <v>2541022996</v>
      </c>
      <c r="H246" s="4" t="s">
        <v>841</v>
      </c>
      <c r="I246" s="4" t="s">
        <v>744</v>
      </c>
      <c r="J246" s="4" t="s">
        <v>745</v>
      </c>
      <c r="K246" s="4" t="s">
        <v>842</v>
      </c>
      <c r="L246" s="5">
        <v>67133</v>
      </c>
    </row>
    <row r="247" spans="1:12" ht="30" x14ac:dyDescent="0.25">
      <c r="A247" s="3" t="s">
        <v>12</v>
      </c>
      <c r="B247" s="4" t="s">
        <v>741</v>
      </c>
      <c r="C247" s="4" t="s">
        <v>14</v>
      </c>
      <c r="D247" s="4" t="s">
        <v>15</v>
      </c>
      <c r="E247" s="5" t="str">
        <f>"9370022"</f>
        <v>9370022</v>
      </c>
      <c r="F247" s="3" t="s">
        <v>843</v>
      </c>
      <c r="G247" s="5">
        <v>2541091479</v>
      </c>
      <c r="H247" s="4" t="s">
        <v>844</v>
      </c>
      <c r="I247" s="4" t="s">
        <v>757</v>
      </c>
      <c r="J247" s="4" t="s">
        <v>845</v>
      </c>
      <c r="K247" s="4" t="s">
        <v>846</v>
      </c>
      <c r="L247" s="5">
        <v>67100</v>
      </c>
    </row>
    <row r="248" spans="1:12" ht="30" x14ac:dyDescent="0.25">
      <c r="A248" s="3" t="s">
        <v>12</v>
      </c>
      <c r="B248" s="4" t="s">
        <v>741</v>
      </c>
      <c r="C248" s="4" t="s">
        <v>25</v>
      </c>
      <c r="D248" s="4" t="s">
        <v>26</v>
      </c>
      <c r="E248" s="5" t="str">
        <f>"9520609"</f>
        <v>9520609</v>
      </c>
      <c r="F248" s="3" t="s">
        <v>847</v>
      </c>
      <c r="G248" s="5">
        <v>2541067622</v>
      </c>
      <c r="H248" s="4" t="s">
        <v>848</v>
      </c>
      <c r="I248" s="4" t="s">
        <v>744</v>
      </c>
      <c r="J248" s="4" t="s">
        <v>745</v>
      </c>
      <c r="K248" s="4" t="s">
        <v>849</v>
      </c>
      <c r="L248" s="5">
        <v>67100</v>
      </c>
    </row>
    <row r="249" spans="1:12" ht="30" x14ac:dyDescent="0.25">
      <c r="A249" s="3" t="s">
        <v>12</v>
      </c>
      <c r="B249" s="4" t="s">
        <v>741</v>
      </c>
      <c r="C249" s="4" t="s">
        <v>14</v>
      </c>
      <c r="D249" s="4" t="s">
        <v>15</v>
      </c>
      <c r="E249" s="5" t="str">
        <f>"9370070"</f>
        <v>9370070</v>
      </c>
      <c r="F249" s="3" t="s">
        <v>850</v>
      </c>
      <c r="G249" s="5">
        <v>2541061215</v>
      </c>
      <c r="H249" s="4" t="s">
        <v>851</v>
      </c>
      <c r="I249" s="4" t="s">
        <v>782</v>
      </c>
      <c r="J249" s="4" t="s">
        <v>852</v>
      </c>
      <c r="K249" s="4" t="s">
        <v>852</v>
      </c>
      <c r="L249" s="5">
        <v>67200</v>
      </c>
    </row>
    <row r="250" spans="1:12" ht="30" x14ac:dyDescent="0.25">
      <c r="A250" s="3" t="s">
        <v>12</v>
      </c>
      <c r="B250" s="4" t="s">
        <v>741</v>
      </c>
      <c r="C250" s="4" t="s">
        <v>14</v>
      </c>
      <c r="D250" s="4" t="s">
        <v>438</v>
      </c>
      <c r="E250" s="5" t="str">
        <f>"9370191"</f>
        <v>9370191</v>
      </c>
      <c r="F250" s="3" t="s">
        <v>853</v>
      </c>
      <c r="G250" s="5">
        <v>2544024167</v>
      </c>
      <c r="H250" s="4" t="s">
        <v>854</v>
      </c>
      <c r="I250" s="4" t="s">
        <v>752</v>
      </c>
      <c r="J250" s="4" t="s">
        <v>855</v>
      </c>
      <c r="K250" s="4" t="s">
        <v>855</v>
      </c>
      <c r="L250" s="5">
        <v>67300</v>
      </c>
    </row>
    <row r="251" spans="1:12" ht="30" x14ac:dyDescent="0.25">
      <c r="A251" s="3" t="s">
        <v>12</v>
      </c>
      <c r="B251" s="4" t="s">
        <v>741</v>
      </c>
      <c r="C251" s="4" t="s">
        <v>25</v>
      </c>
      <c r="D251" s="4" t="s">
        <v>26</v>
      </c>
      <c r="E251" s="5" t="str">
        <f>"9370247"</f>
        <v>9370247</v>
      </c>
      <c r="F251" s="3" t="s">
        <v>856</v>
      </c>
      <c r="G251" s="5">
        <v>2541027634</v>
      </c>
      <c r="H251" s="4" t="s">
        <v>857</v>
      </c>
      <c r="I251" s="4" t="s">
        <v>744</v>
      </c>
      <c r="J251" s="4" t="s">
        <v>858</v>
      </c>
      <c r="K251" s="4" t="s">
        <v>858</v>
      </c>
      <c r="L251" s="5">
        <v>67100</v>
      </c>
    </row>
    <row r="252" spans="1:12" ht="30" x14ac:dyDescent="0.25">
      <c r="A252" s="3" t="s">
        <v>12</v>
      </c>
      <c r="B252" s="4" t="s">
        <v>741</v>
      </c>
      <c r="C252" s="4" t="s">
        <v>14</v>
      </c>
      <c r="D252" s="4" t="s">
        <v>15</v>
      </c>
      <c r="E252" s="5" t="str">
        <f>"9370020"</f>
        <v>9370020</v>
      </c>
      <c r="F252" s="3" t="s">
        <v>859</v>
      </c>
      <c r="G252" s="5">
        <v>2541350429</v>
      </c>
      <c r="H252" s="4" t="s">
        <v>860</v>
      </c>
      <c r="I252" s="4" t="s">
        <v>757</v>
      </c>
      <c r="J252" s="4" t="s">
        <v>861</v>
      </c>
      <c r="K252" s="4" t="s">
        <v>861</v>
      </c>
      <c r="L252" s="5">
        <v>67100</v>
      </c>
    </row>
    <row r="253" spans="1:12" ht="30" x14ac:dyDescent="0.25">
      <c r="A253" s="3" t="s">
        <v>12</v>
      </c>
      <c r="B253" s="4" t="s">
        <v>741</v>
      </c>
      <c r="C253" s="4" t="s">
        <v>14</v>
      </c>
      <c r="D253" s="4" t="s">
        <v>15</v>
      </c>
      <c r="E253" s="5" t="str">
        <f>"9370009"</f>
        <v>9370009</v>
      </c>
      <c r="F253" s="3" t="s">
        <v>862</v>
      </c>
      <c r="G253" s="5">
        <v>2541051284</v>
      </c>
      <c r="H253" s="4" t="s">
        <v>863</v>
      </c>
      <c r="I253" s="4" t="s">
        <v>757</v>
      </c>
      <c r="J253" s="4" t="s">
        <v>839</v>
      </c>
      <c r="K253" s="4" t="s">
        <v>839</v>
      </c>
      <c r="L253" s="5">
        <v>67064</v>
      </c>
    </row>
    <row r="254" spans="1:12" ht="30" x14ac:dyDescent="0.25">
      <c r="A254" s="3" t="s">
        <v>12</v>
      </c>
      <c r="B254" s="4" t="s">
        <v>741</v>
      </c>
      <c r="C254" s="4" t="s">
        <v>14</v>
      </c>
      <c r="D254" s="4" t="s">
        <v>15</v>
      </c>
      <c r="E254" s="5" t="str">
        <f>"9370077"</f>
        <v>9370077</v>
      </c>
      <c r="F254" s="3" t="s">
        <v>864</v>
      </c>
      <c r="G254" s="5">
        <v>2541070354</v>
      </c>
      <c r="H254" s="4" t="s">
        <v>865</v>
      </c>
      <c r="I254" s="4" t="s">
        <v>744</v>
      </c>
      <c r="J254" s="4" t="s">
        <v>858</v>
      </c>
      <c r="K254" s="4" t="s">
        <v>858</v>
      </c>
      <c r="L254" s="5">
        <v>67100</v>
      </c>
    </row>
    <row r="255" spans="1:12" ht="30" x14ac:dyDescent="0.25">
      <c r="A255" s="3" t="s">
        <v>12</v>
      </c>
      <c r="B255" s="4" t="s">
        <v>741</v>
      </c>
      <c r="C255" s="4" t="s">
        <v>14</v>
      </c>
      <c r="D255" s="4" t="s">
        <v>438</v>
      </c>
      <c r="E255" s="5" t="str">
        <f>"9370152"</f>
        <v>9370152</v>
      </c>
      <c r="F255" s="3" t="s">
        <v>866</v>
      </c>
      <c r="G255" s="5">
        <v>2541031901</v>
      </c>
      <c r="H255" s="4" t="s">
        <v>867</v>
      </c>
      <c r="I255" s="4" t="s">
        <v>757</v>
      </c>
      <c r="J255" s="4" t="s">
        <v>868</v>
      </c>
      <c r="K255" s="4" t="s">
        <v>868</v>
      </c>
      <c r="L255" s="5">
        <v>67150</v>
      </c>
    </row>
    <row r="256" spans="1:12" ht="30" x14ac:dyDescent="0.25">
      <c r="A256" s="3" t="s">
        <v>12</v>
      </c>
      <c r="B256" s="4" t="s">
        <v>741</v>
      </c>
      <c r="C256" s="4" t="s">
        <v>14</v>
      </c>
      <c r="D256" s="4" t="s">
        <v>15</v>
      </c>
      <c r="E256" s="5" t="str">
        <f>"9370048"</f>
        <v>9370048</v>
      </c>
      <c r="F256" s="3" t="s">
        <v>869</v>
      </c>
      <c r="G256" s="5">
        <v>2541022795</v>
      </c>
      <c r="H256" s="4" t="s">
        <v>870</v>
      </c>
      <c r="I256" s="4" t="s">
        <v>744</v>
      </c>
      <c r="J256" s="4" t="s">
        <v>745</v>
      </c>
      <c r="K256" s="4" t="s">
        <v>871</v>
      </c>
      <c r="L256" s="5">
        <v>67131</v>
      </c>
    </row>
    <row r="257" spans="1:12" ht="30" x14ac:dyDescent="0.25">
      <c r="A257" s="3" t="s">
        <v>12</v>
      </c>
      <c r="B257" s="4" t="s">
        <v>741</v>
      </c>
      <c r="C257" s="4" t="s">
        <v>14</v>
      </c>
      <c r="D257" s="4" t="s">
        <v>438</v>
      </c>
      <c r="E257" s="5" t="str">
        <f>"9370132"</f>
        <v>9370132</v>
      </c>
      <c r="F257" s="3" t="s">
        <v>872</v>
      </c>
      <c r="G257" s="5">
        <v>2544022140</v>
      </c>
      <c r="H257" s="4" t="s">
        <v>873</v>
      </c>
      <c r="I257" s="4" t="s">
        <v>752</v>
      </c>
      <c r="J257" s="4" t="s">
        <v>874</v>
      </c>
      <c r="K257" s="4" t="s">
        <v>874</v>
      </c>
      <c r="L257" s="5">
        <v>67300</v>
      </c>
    </row>
    <row r="258" spans="1:12" ht="30" x14ac:dyDescent="0.25">
      <c r="A258" s="3" t="s">
        <v>12</v>
      </c>
      <c r="B258" s="4" t="s">
        <v>741</v>
      </c>
      <c r="C258" s="4" t="s">
        <v>14</v>
      </c>
      <c r="D258" s="4" t="s">
        <v>15</v>
      </c>
      <c r="E258" s="5" t="str">
        <f>"9370004"</f>
        <v>9370004</v>
      </c>
      <c r="F258" s="3" t="s">
        <v>875</v>
      </c>
      <c r="G258" s="5">
        <v>2541022354</v>
      </c>
      <c r="H258" s="4" t="s">
        <v>876</v>
      </c>
      <c r="I258" s="4" t="s">
        <v>744</v>
      </c>
      <c r="J258" s="4" t="s">
        <v>745</v>
      </c>
      <c r="K258" s="4" t="s">
        <v>877</v>
      </c>
      <c r="L258" s="5">
        <v>67132</v>
      </c>
    </row>
    <row r="259" spans="1:12" ht="30" x14ac:dyDescent="0.25">
      <c r="A259" s="3" t="s">
        <v>12</v>
      </c>
      <c r="B259" s="4" t="s">
        <v>741</v>
      </c>
      <c r="C259" s="4" t="s">
        <v>14</v>
      </c>
      <c r="D259" s="4" t="s">
        <v>438</v>
      </c>
      <c r="E259" s="5" t="str">
        <f>"9370157"</f>
        <v>9370157</v>
      </c>
      <c r="F259" s="3" t="s">
        <v>878</v>
      </c>
      <c r="G259" s="5">
        <v>2541071464</v>
      </c>
      <c r="H259" s="4" t="s">
        <v>879</v>
      </c>
      <c r="I259" s="4" t="s">
        <v>744</v>
      </c>
      <c r="J259" s="4" t="s">
        <v>745</v>
      </c>
      <c r="K259" s="4" t="s">
        <v>880</v>
      </c>
      <c r="L259" s="5">
        <v>67132</v>
      </c>
    </row>
    <row r="260" spans="1:12" ht="30" x14ac:dyDescent="0.25">
      <c r="A260" s="3" t="s">
        <v>12</v>
      </c>
      <c r="B260" s="4" t="s">
        <v>741</v>
      </c>
      <c r="C260" s="4" t="s">
        <v>14</v>
      </c>
      <c r="D260" s="4" t="s">
        <v>15</v>
      </c>
      <c r="E260" s="5" t="str">
        <f>"9370249"</f>
        <v>9370249</v>
      </c>
      <c r="F260" s="3" t="s">
        <v>881</v>
      </c>
      <c r="G260" s="5">
        <v>2541066443</v>
      </c>
      <c r="H260" s="4" t="s">
        <v>882</v>
      </c>
      <c r="I260" s="4" t="s">
        <v>744</v>
      </c>
      <c r="J260" s="4" t="s">
        <v>745</v>
      </c>
      <c r="K260" s="4" t="s">
        <v>883</v>
      </c>
      <c r="L260" s="5">
        <v>67132</v>
      </c>
    </row>
    <row r="261" spans="1:12" ht="30" x14ac:dyDescent="0.25">
      <c r="A261" s="3" t="s">
        <v>12</v>
      </c>
      <c r="B261" s="4" t="s">
        <v>741</v>
      </c>
      <c r="C261" s="4" t="s">
        <v>14</v>
      </c>
      <c r="D261" s="4" t="s">
        <v>15</v>
      </c>
      <c r="E261" s="5" t="str">
        <f>"9370055"</f>
        <v>9370055</v>
      </c>
      <c r="F261" s="3" t="s">
        <v>884</v>
      </c>
      <c r="G261" s="5">
        <v>2541022446</v>
      </c>
      <c r="H261" s="4" t="s">
        <v>885</v>
      </c>
      <c r="I261" s="4" t="s">
        <v>744</v>
      </c>
      <c r="J261" s="4" t="s">
        <v>745</v>
      </c>
      <c r="K261" s="4" t="s">
        <v>842</v>
      </c>
      <c r="L261" s="5">
        <v>67133</v>
      </c>
    </row>
    <row r="262" spans="1:12" ht="30" x14ac:dyDescent="0.25">
      <c r="A262" s="3" t="s">
        <v>12</v>
      </c>
      <c r="B262" s="4" t="s">
        <v>741</v>
      </c>
      <c r="C262" s="4" t="s">
        <v>14</v>
      </c>
      <c r="D262" s="4" t="s">
        <v>15</v>
      </c>
      <c r="E262" s="5" t="str">
        <f>"9370052"</f>
        <v>9370052</v>
      </c>
      <c r="F262" s="3" t="s">
        <v>886</v>
      </c>
      <c r="G262" s="5">
        <v>2541027278</v>
      </c>
      <c r="H262" s="4" t="s">
        <v>887</v>
      </c>
      <c r="I262" s="4" t="s">
        <v>744</v>
      </c>
      <c r="J262" s="4" t="s">
        <v>745</v>
      </c>
      <c r="K262" s="4" t="s">
        <v>888</v>
      </c>
      <c r="L262" s="5">
        <v>67133</v>
      </c>
    </row>
    <row r="263" spans="1:12" ht="30" x14ac:dyDescent="0.25">
      <c r="A263" s="3" t="s">
        <v>12</v>
      </c>
      <c r="B263" s="4" t="s">
        <v>741</v>
      </c>
      <c r="C263" s="4" t="s">
        <v>14</v>
      </c>
      <c r="D263" s="4" t="s">
        <v>15</v>
      </c>
      <c r="E263" s="5" t="str">
        <f>"9370007"</f>
        <v>9370007</v>
      </c>
      <c r="F263" s="3" t="s">
        <v>889</v>
      </c>
      <c r="G263" s="5">
        <v>2541024288</v>
      </c>
      <c r="H263" s="4" t="s">
        <v>890</v>
      </c>
      <c r="I263" s="4" t="s">
        <v>744</v>
      </c>
      <c r="J263" s="4" t="s">
        <v>745</v>
      </c>
      <c r="K263" s="4" t="s">
        <v>891</v>
      </c>
      <c r="L263" s="5">
        <v>67132</v>
      </c>
    </row>
    <row r="264" spans="1:12" ht="30" x14ac:dyDescent="0.25">
      <c r="A264" s="3" t="s">
        <v>12</v>
      </c>
      <c r="B264" s="4" t="s">
        <v>741</v>
      </c>
      <c r="C264" s="4" t="s">
        <v>14</v>
      </c>
      <c r="D264" s="4" t="s">
        <v>15</v>
      </c>
      <c r="E264" s="5" t="str">
        <f>"9370258"</f>
        <v>9370258</v>
      </c>
      <c r="F264" s="3" t="s">
        <v>892</v>
      </c>
      <c r="G264" s="5">
        <v>2541074898</v>
      </c>
      <c r="H264" s="4" t="s">
        <v>893</v>
      </c>
      <c r="I264" s="4" t="s">
        <v>744</v>
      </c>
      <c r="J264" s="4" t="s">
        <v>745</v>
      </c>
      <c r="K264" s="4" t="s">
        <v>894</v>
      </c>
      <c r="L264" s="5">
        <v>67131</v>
      </c>
    </row>
    <row r="265" spans="1:12" ht="30" x14ac:dyDescent="0.25">
      <c r="A265" s="3" t="s">
        <v>12</v>
      </c>
      <c r="B265" s="4" t="s">
        <v>741</v>
      </c>
      <c r="C265" s="4" t="s">
        <v>14</v>
      </c>
      <c r="D265" s="4" t="s">
        <v>15</v>
      </c>
      <c r="E265" s="5" t="str">
        <f>"9370259"</f>
        <v>9370259</v>
      </c>
      <c r="F265" s="3" t="s">
        <v>895</v>
      </c>
      <c r="G265" s="5">
        <v>2541026581</v>
      </c>
      <c r="H265" s="4" t="s">
        <v>896</v>
      </c>
      <c r="I265" s="4" t="s">
        <v>744</v>
      </c>
      <c r="J265" s="4" t="s">
        <v>745</v>
      </c>
      <c r="K265" s="4" t="s">
        <v>897</v>
      </c>
      <c r="L265" s="5">
        <v>67100</v>
      </c>
    </row>
    <row r="266" spans="1:12" ht="30" x14ac:dyDescent="0.25">
      <c r="A266" s="3" t="s">
        <v>12</v>
      </c>
      <c r="B266" s="4" t="s">
        <v>741</v>
      </c>
      <c r="C266" s="4" t="s">
        <v>14</v>
      </c>
      <c r="D266" s="4" t="s">
        <v>15</v>
      </c>
      <c r="E266" s="5" t="str">
        <f>"9521267"</f>
        <v>9521267</v>
      </c>
      <c r="F266" s="3" t="s">
        <v>898</v>
      </c>
      <c r="G266" s="5">
        <v>2541077782</v>
      </c>
      <c r="H266" s="4" t="s">
        <v>899</v>
      </c>
      <c r="I266" s="4" t="s">
        <v>744</v>
      </c>
      <c r="J266" s="4" t="s">
        <v>900</v>
      </c>
      <c r="K266" s="4" t="s">
        <v>800</v>
      </c>
      <c r="L266" s="5">
        <v>67100</v>
      </c>
    </row>
    <row r="267" spans="1:12" ht="30" x14ac:dyDescent="0.25">
      <c r="A267" s="3" t="s">
        <v>12</v>
      </c>
      <c r="B267" s="4" t="s">
        <v>741</v>
      </c>
      <c r="C267" s="4" t="s">
        <v>25</v>
      </c>
      <c r="D267" s="4" t="s">
        <v>26</v>
      </c>
      <c r="E267" s="5" t="str">
        <f>"9521265"</f>
        <v>9521265</v>
      </c>
      <c r="F267" s="3" t="s">
        <v>901</v>
      </c>
      <c r="G267" s="5">
        <v>2541032314</v>
      </c>
      <c r="H267" s="4" t="s">
        <v>902</v>
      </c>
      <c r="I267" s="4" t="s">
        <v>757</v>
      </c>
      <c r="J267" s="4" t="s">
        <v>868</v>
      </c>
      <c r="K267" s="4" t="s">
        <v>868</v>
      </c>
      <c r="L267" s="5">
        <v>67100</v>
      </c>
    </row>
    <row r="268" spans="1:12" ht="30" x14ac:dyDescent="0.25">
      <c r="A268" s="3" t="s">
        <v>12</v>
      </c>
      <c r="B268" s="4" t="s">
        <v>741</v>
      </c>
      <c r="C268" s="4" t="s">
        <v>14</v>
      </c>
      <c r="D268" s="4" t="s">
        <v>15</v>
      </c>
      <c r="E268" s="5" t="str">
        <f>"9370046"</f>
        <v>9370046</v>
      </c>
      <c r="F268" s="3" t="s">
        <v>903</v>
      </c>
      <c r="G268" s="5">
        <v>2541022761</v>
      </c>
      <c r="H268" s="4" t="s">
        <v>904</v>
      </c>
      <c r="I268" s="4" t="s">
        <v>744</v>
      </c>
      <c r="J268" s="4" t="s">
        <v>745</v>
      </c>
      <c r="K268" s="4" t="s">
        <v>789</v>
      </c>
      <c r="L268" s="5">
        <v>67131</v>
      </c>
    </row>
    <row r="269" spans="1:12" ht="30" x14ac:dyDescent="0.25">
      <c r="A269" s="3" t="s">
        <v>12</v>
      </c>
      <c r="B269" s="4" t="s">
        <v>741</v>
      </c>
      <c r="C269" s="4" t="s">
        <v>25</v>
      </c>
      <c r="D269" s="4" t="s">
        <v>26</v>
      </c>
      <c r="E269" s="5" t="str">
        <f>"9521539"</f>
        <v>9521539</v>
      </c>
      <c r="F269" s="3" t="s">
        <v>905</v>
      </c>
      <c r="G269" s="5">
        <v>2541084746</v>
      </c>
      <c r="H269" s="4" t="s">
        <v>906</v>
      </c>
      <c r="I269" s="4" t="s">
        <v>744</v>
      </c>
      <c r="J269" s="4" t="s">
        <v>907</v>
      </c>
      <c r="K269" s="4" t="s">
        <v>908</v>
      </c>
      <c r="L269" s="5">
        <v>67100</v>
      </c>
    </row>
    <row r="270" spans="1:12" ht="30" x14ac:dyDescent="0.25">
      <c r="A270" s="3" t="s">
        <v>12</v>
      </c>
      <c r="B270" s="4" t="s">
        <v>741</v>
      </c>
      <c r="C270" s="4" t="s">
        <v>25</v>
      </c>
      <c r="D270" s="4" t="s">
        <v>26</v>
      </c>
      <c r="E270" s="5" t="str">
        <f>"9521467"</f>
        <v>9521467</v>
      </c>
      <c r="F270" s="3" t="s">
        <v>909</v>
      </c>
      <c r="G270" s="5">
        <v>2541020487</v>
      </c>
      <c r="H270" s="4" t="s">
        <v>910</v>
      </c>
      <c r="I270" s="4" t="s">
        <v>744</v>
      </c>
      <c r="J270" s="4" t="s">
        <v>744</v>
      </c>
      <c r="K270" s="4" t="s">
        <v>911</v>
      </c>
      <c r="L270" s="5">
        <v>67131</v>
      </c>
    </row>
    <row r="271" spans="1:12" ht="30" x14ac:dyDescent="0.25">
      <c r="A271" s="3" t="s">
        <v>12</v>
      </c>
      <c r="B271" s="4" t="s">
        <v>912</v>
      </c>
      <c r="C271" s="4" t="s">
        <v>14</v>
      </c>
      <c r="D271" s="4" t="s">
        <v>438</v>
      </c>
      <c r="E271" s="5" t="str">
        <f>"9420138"</f>
        <v>9420138</v>
      </c>
      <c r="F271" s="3" t="s">
        <v>913</v>
      </c>
      <c r="G271" s="5">
        <v>2531024339</v>
      </c>
      <c r="H271" s="4" t="s">
        <v>914</v>
      </c>
      <c r="I271" s="4" t="s">
        <v>915</v>
      </c>
      <c r="J271" s="4" t="s">
        <v>916</v>
      </c>
      <c r="K271" s="4" t="s">
        <v>917</v>
      </c>
      <c r="L271" s="5">
        <v>69100</v>
      </c>
    </row>
    <row r="272" spans="1:12" ht="30" x14ac:dyDescent="0.25">
      <c r="A272" s="3" t="s">
        <v>12</v>
      </c>
      <c r="B272" s="4" t="s">
        <v>912</v>
      </c>
      <c r="C272" s="4" t="s">
        <v>14</v>
      </c>
      <c r="D272" s="4" t="s">
        <v>438</v>
      </c>
      <c r="E272" s="5" t="str">
        <f>"9420157"</f>
        <v>9420157</v>
      </c>
      <c r="F272" s="3" t="s">
        <v>918</v>
      </c>
      <c r="G272" s="5">
        <v>2532022938</v>
      </c>
      <c r="H272" s="4" t="s">
        <v>919</v>
      </c>
      <c r="I272" s="4" t="s">
        <v>920</v>
      </c>
      <c r="J272" s="4" t="s">
        <v>921</v>
      </c>
      <c r="K272" s="4" t="s">
        <v>922</v>
      </c>
      <c r="L272" s="5">
        <v>69300</v>
      </c>
    </row>
    <row r="273" spans="1:12" ht="30" x14ac:dyDescent="0.25">
      <c r="A273" s="3" t="s">
        <v>12</v>
      </c>
      <c r="B273" s="4" t="s">
        <v>912</v>
      </c>
      <c r="C273" s="4" t="s">
        <v>14</v>
      </c>
      <c r="D273" s="4" t="s">
        <v>438</v>
      </c>
      <c r="E273" s="5" t="str">
        <f>"9420206"</f>
        <v>9420206</v>
      </c>
      <c r="F273" s="3" t="s">
        <v>923</v>
      </c>
      <c r="G273" s="5">
        <v>2531028332</v>
      </c>
      <c r="H273" s="4" t="s">
        <v>924</v>
      </c>
      <c r="I273" s="4" t="s">
        <v>915</v>
      </c>
      <c r="J273" s="4" t="s">
        <v>915</v>
      </c>
      <c r="K273" s="4" t="s">
        <v>925</v>
      </c>
      <c r="L273" s="5">
        <v>69100</v>
      </c>
    </row>
    <row r="274" spans="1:12" ht="30" x14ac:dyDescent="0.25">
      <c r="A274" s="3" t="s">
        <v>12</v>
      </c>
      <c r="B274" s="4" t="s">
        <v>912</v>
      </c>
      <c r="C274" s="4" t="s">
        <v>14</v>
      </c>
      <c r="D274" s="4" t="s">
        <v>15</v>
      </c>
      <c r="E274" s="5" t="str">
        <f>"9420287"</f>
        <v>9420287</v>
      </c>
      <c r="F274" s="3" t="s">
        <v>926</v>
      </c>
      <c r="G274" s="5">
        <v>2531035011</v>
      </c>
      <c r="H274" s="4" t="s">
        <v>927</v>
      </c>
      <c r="I274" s="4" t="s">
        <v>915</v>
      </c>
      <c r="J274" s="4" t="s">
        <v>916</v>
      </c>
      <c r="K274" s="4" t="s">
        <v>928</v>
      </c>
      <c r="L274" s="5">
        <v>69100</v>
      </c>
    </row>
    <row r="275" spans="1:12" ht="30" x14ac:dyDescent="0.25">
      <c r="A275" s="3" t="s">
        <v>12</v>
      </c>
      <c r="B275" s="4" t="s">
        <v>912</v>
      </c>
      <c r="C275" s="4" t="s">
        <v>14</v>
      </c>
      <c r="D275" s="4" t="s">
        <v>15</v>
      </c>
      <c r="E275" s="5" t="str">
        <f>"9420278"</f>
        <v>9420278</v>
      </c>
      <c r="F275" s="3" t="s">
        <v>929</v>
      </c>
      <c r="G275" s="5">
        <v>2531021618</v>
      </c>
      <c r="H275" s="4" t="s">
        <v>930</v>
      </c>
      <c r="I275" s="4" t="s">
        <v>915</v>
      </c>
      <c r="J275" s="4" t="s">
        <v>916</v>
      </c>
      <c r="K275" s="4" t="s">
        <v>931</v>
      </c>
      <c r="L275" s="5">
        <v>69132</v>
      </c>
    </row>
    <row r="276" spans="1:12" ht="30" x14ac:dyDescent="0.25">
      <c r="A276" s="3" t="s">
        <v>12</v>
      </c>
      <c r="B276" s="4" t="s">
        <v>912</v>
      </c>
      <c r="C276" s="4" t="s">
        <v>14</v>
      </c>
      <c r="D276" s="4" t="s">
        <v>438</v>
      </c>
      <c r="E276" s="5" t="str">
        <f>"9420205"</f>
        <v>9420205</v>
      </c>
      <c r="F276" s="3" t="s">
        <v>932</v>
      </c>
      <c r="G276" s="5">
        <v>2531022998</v>
      </c>
      <c r="H276" s="4" t="s">
        <v>933</v>
      </c>
      <c r="I276" s="4" t="s">
        <v>915</v>
      </c>
      <c r="J276" s="4" t="s">
        <v>915</v>
      </c>
      <c r="K276" s="4" t="s">
        <v>934</v>
      </c>
      <c r="L276" s="5">
        <v>69100</v>
      </c>
    </row>
    <row r="277" spans="1:12" ht="30" x14ac:dyDescent="0.25">
      <c r="A277" s="3" t="s">
        <v>12</v>
      </c>
      <c r="B277" s="4" t="s">
        <v>912</v>
      </c>
      <c r="C277" s="4" t="s">
        <v>14</v>
      </c>
      <c r="D277" s="4" t="s">
        <v>438</v>
      </c>
      <c r="E277" s="5" t="str">
        <f>"9420168"</f>
        <v>9420168</v>
      </c>
      <c r="F277" s="3" t="s">
        <v>935</v>
      </c>
      <c r="G277" s="5">
        <v>2532041806</v>
      </c>
      <c r="H277" s="4" t="s">
        <v>936</v>
      </c>
      <c r="I277" s="4" t="s">
        <v>937</v>
      </c>
      <c r="J277" s="4" t="s">
        <v>938</v>
      </c>
      <c r="K277" s="4" t="s">
        <v>939</v>
      </c>
      <c r="L277" s="5">
        <v>69300</v>
      </c>
    </row>
    <row r="278" spans="1:12" ht="30" x14ac:dyDescent="0.25">
      <c r="A278" s="3" t="s">
        <v>12</v>
      </c>
      <c r="B278" s="4" t="s">
        <v>912</v>
      </c>
      <c r="C278" s="4" t="s">
        <v>14</v>
      </c>
      <c r="D278" s="4" t="s">
        <v>15</v>
      </c>
      <c r="E278" s="5" t="str">
        <f>"9420277"</f>
        <v>9420277</v>
      </c>
      <c r="F278" s="3" t="s">
        <v>940</v>
      </c>
      <c r="G278" s="5">
        <v>2531028733</v>
      </c>
      <c r="H278" s="4" t="s">
        <v>941</v>
      </c>
      <c r="I278" s="4" t="s">
        <v>915</v>
      </c>
      <c r="J278" s="4" t="s">
        <v>916</v>
      </c>
      <c r="K278" s="4" t="s">
        <v>942</v>
      </c>
      <c r="L278" s="5">
        <v>69100</v>
      </c>
    </row>
    <row r="279" spans="1:12" ht="30" x14ac:dyDescent="0.25">
      <c r="A279" s="3" t="s">
        <v>12</v>
      </c>
      <c r="B279" s="4" t="s">
        <v>912</v>
      </c>
      <c r="C279" s="4" t="s">
        <v>14</v>
      </c>
      <c r="D279" s="4" t="s">
        <v>438</v>
      </c>
      <c r="E279" s="5" t="str">
        <f>"9420140"</f>
        <v>9420140</v>
      </c>
      <c r="F279" s="3" t="s">
        <v>943</v>
      </c>
      <c r="G279" s="5">
        <v>2531023185</v>
      </c>
      <c r="H279" s="4" t="s">
        <v>944</v>
      </c>
      <c r="I279" s="4" t="s">
        <v>915</v>
      </c>
      <c r="J279" s="4" t="s">
        <v>916</v>
      </c>
      <c r="K279" s="4" t="s">
        <v>945</v>
      </c>
      <c r="L279" s="5">
        <v>69100</v>
      </c>
    </row>
    <row r="280" spans="1:12" ht="30" x14ac:dyDescent="0.25">
      <c r="A280" s="3" t="s">
        <v>12</v>
      </c>
      <c r="B280" s="4" t="s">
        <v>912</v>
      </c>
      <c r="C280" s="4" t="s">
        <v>25</v>
      </c>
      <c r="D280" s="4" t="s">
        <v>26</v>
      </c>
      <c r="E280" s="5" t="str">
        <f>"9420084"</f>
        <v>9420084</v>
      </c>
      <c r="F280" s="3" t="s">
        <v>946</v>
      </c>
      <c r="G280" s="5">
        <v>2531092202</v>
      </c>
      <c r="H280" s="4" t="s">
        <v>947</v>
      </c>
      <c r="I280" s="4" t="s">
        <v>915</v>
      </c>
      <c r="J280" s="4" t="s">
        <v>948</v>
      </c>
      <c r="K280" s="4" t="s">
        <v>949</v>
      </c>
      <c r="L280" s="5">
        <v>69100</v>
      </c>
    </row>
    <row r="281" spans="1:12" ht="30" x14ac:dyDescent="0.25">
      <c r="A281" s="3" t="s">
        <v>12</v>
      </c>
      <c r="B281" s="4" t="s">
        <v>912</v>
      </c>
      <c r="C281" s="4" t="s">
        <v>25</v>
      </c>
      <c r="D281" s="4" t="s">
        <v>26</v>
      </c>
      <c r="E281" s="5" t="str">
        <f>"9420003"</f>
        <v>9420003</v>
      </c>
      <c r="F281" s="3" t="s">
        <v>950</v>
      </c>
      <c r="G281" s="5">
        <v>2531031304</v>
      </c>
      <c r="H281" s="4" t="s">
        <v>951</v>
      </c>
      <c r="I281" s="4" t="s">
        <v>915</v>
      </c>
      <c r="J281" s="4" t="s">
        <v>915</v>
      </c>
      <c r="K281" s="4" t="s">
        <v>952</v>
      </c>
      <c r="L281" s="5">
        <v>69133</v>
      </c>
    </row>
    <row r="282" spans="1:12" ht="30" x14ac:dyDescent="0.25">
      <c r="A282" s="3" t="s">
        <v>12</v>
      </c>
      <c r="B282" s="4" t="s">
        <v>912</v>
      </c>
      <c r="C282" s="4" t="s">
        <v>25</v>
      </c>
      <c r="D282" s="4" t="s">
        <v>26</v>
      </c>
      <c r="E282" s="5" t="str">
        <f>"9420030"</f>
        <v>9420030</v>
      </c>
      <c r="F282" s="3" t="s">
        <v>953</v>
      </c>
      <c r="G282" s="5">
        <v>2534024808</v>
      </c>
      <c r="H282" s="4" t="s">
        <v>954</v>
      </c>
      <c r="I282" s="4" t="s">
        <v>955</v>
      </c>
      <c r="J282" s="4" t="s">
        <v>955</v>
      </c>
      <c r="K282" s="4" t="s">
        <v>956</v>
      </c>
      <c r="L282" s="5">
        <v>69200</v>
      </c>
    </row>
    <row r="283" spans="1:12" ht="30" x14ac:dyDescent="0.25">
      <c r="A283" s="3" t="s">
        <v>12</v>
      </c>
      <c r="B283" s="4" t="s">
        <v>912</v>
      </c>
      <c r="C283" s="4" t="s">
        <v>25</v>
      </c>
      <c r="D283" s="4" t="s">
        <v>26</v>
      </c>
      <c r="E283" s="5" t="str">
        <f>"9420076"</f>
        <v>9420076</v>
      </c>
      <c r="F283" s="3" t="s">
        <v>957</v>
      </c>
      <c r="G283" s="5">
        <v>2531021646</v>
      </c>
      <c r="H283" s="4" t="s">
        <v>958</v>
      </c>
      <c r="I283" s="4" t="s">
        <v>915</v>
      </c>
      <c r="J283" s="4" t="s">
        <v>916</v>
      </c>
      <c r="K283" s="4" t="s">
        <v>959</v>
      </c>
      <c r="L283" s="5">
        <v>69133</v>
      </c>
    </row>
    <row r="284" spans="1:12" ht="30" x14ac:dyDescent="0.25">
      <c r="A284" s="3" t="s">
        <v>12</v>
      </c>
      <c r="B284" s="4" t="s">
        <v>912</v>
      </c>
      <c r="C284" s="4" t="s">
        <v>14</v>
      </c>
      <c r="D284" s="4" t="s">
        <v>960</v>
      </c>
      <c r="E284" s="5" t="str">
        <f>"9420031"</f>
        <v>9420031</v>
      </c>
      <c r="F284" s="3" t="s">
        <v>961</v>
      </c>
      <c r="G284" s="5">
        <v>2534350311</v>
      </c>
      <c r="H284" s="4" t="s">
        <v>962</v>
      </c>
      <c r="I284" s="4" t="s">
        <v>955</v>
      </c>
      <c r="J284" s="4" t="s">
        <v>956</v>
      </c>
      <c r="K284" s="4" t="s">
        <v>963</v>
      </c>
      <c r="L284" s="5">
        <v>69200</v>
      </c>
    </row>
    <row r="285" spans="1:12" ht="30" x14ac:dyDescent="0.25">
      <c r="A285" s="3" t="s">
        <v>12</v>
      </c>
      <c r="B285" s="4" t="s">
        <v>912</v>
      </c>
      <c r="C285" s="4" t="s">
        <v>14</v>
      </c>
      <c r="D285" s="4" t="s">
        <v>438</v>
      </c>
      <c r="E285" s="5" t="str">
        <f>"9420203"</f>
        <v>9420203</v>
      </c>
      <c r="F285" s="3" t="s">
        <v>964</v>
      </c>
      <c r="G285" s="5">
        <v>2531023138</v>
      </c>
      <c r="H285" s="4" t="s">
        <v>965</v>
      </c>
      <c r="I285" s="4" t="s">
        <v>915</v>
      </c>
      <c r="J285" s="4" t="s">
        <v>916</v>
      </c>
      <c r="K285" s="4" t="s">
        <v>966</v>
      </c>
      <c r="L285" s="5">
        <v>69132</v>
      </c>
    </row>
    <row r="286" spans="1:12" ht="30" x14ac:dyDescent="0.25">
      <c r="A286" s="3" t="s">
        <v>12</v>
      </c>
      <c r="B286" s="4" t="s">
        <v>912</v>
      </c>
      <c r="C286" s="4" t="s">
        <v>14</v>
      </c>
      <c r="D286" s="4" t="s">
        <v>15</v>
      </c>
      <c r="E286" s="5" t="str">
        <f>"9420004"</f>
        <v>9420004</v>
      </c>
      <c r="F286" s="3" t="s">
        <v>967</v>
      </c>
      <c r="G286" s="5">
        <v>2531022148</v>
      </c>
      <c r="H286" s="4" t="s">
        <v>968</v>
      </c>
      <c r="I286" s="4" t="s">
        <v>915</v>
      </c>
      <c r="J286" s="4" t="s">
        <v>916</v>
      </c>
      <c r="K286" s="4" t="s">
        <v>952</v>
      </c>
      <c r="L286" s="5">
        <v>69133</v>
      </c>
    </row>
    <row r="287" spans="1:12" ht="30" x14ac:dyDescent="0.25">
      <c r="A287" s="3" t="s">
        <v>12</v>
      </c>
      <c r="B287" s="4" t="s">
        <v>912</v>
      </c>
      <c r="C287" s="4" t="s">
        <v>14</v>
      </c>
      <c r="D287" s="4" t="s">
        <v>15</v>
      </c>
      <c r="E287" s="5" t="str">
        <f>"9420279"</f>
        <v>9420279</v>
      </c>
      <c r="F287" s="3" t="s">
        <v>969</v>
      </c>
      <c r="G287" s="5">
        <v>2531023162</v>
      </c>
      <c r="H287" s="4" t="s">
        <v>970</v>
      </c>
      <c r="I287" s="4" t="s">
        <v>915</v>
      </c>
      <c r="J287" s="4" t="s">
        <v>916</v>
      </c>
      <c r="K287" s="4" t="s">
        <v>971</v>
      </c>
      <c r="L287" s="5">
        <v>69131</v>
      </c>
    </row>
    <row r="288" spans="1:12" ht="30" x14ac:dyDescent="0.25">
      <c r="A288" s="3" t="s">
        <v>12</v>
      </c>
      <c r="B288" s="4" t="s">
        <v>912</v>
      </c>
      <c r="C288" s="4" t="s">
        <v>14</v>
      </c>
      <c r="D288" s="4" t="s">
        <v>15</v>
      </c>
      <c r="E288" s="5" t="str">
        <f>"9420098"</f>
        <v>9420098</v>
      </c>
      <c r="F288" s="3" t="s">
        <v>972</v>
      </c>
      <c r="G288" s="5">
        <v>2531027459</v>
      </c>
      <c r="H288" s="4" t="s">
        <v>973</v>
      </c>
      <c r="I288" s="4" t="s">
        <v>915</v>
      </c>
      <c r="J288" s="4" t="s">
        <v>974</v>
      </c>
      <c r="K288" s="4" t="s">
        <v>975</v>
      </c>
      <c r="L288" s="5">
        <v>69100</v>
      </c>
    </row>
    <row r="289" spans="1:12" ht="30" x14ac:dyDescent="0.25">
      <c r="A289" s="3" t="s">
        <v>12</v>
      </c>
      <c r="B289" s="4" t="s">
        <v>912</v>
      </c>
      <c r="C289" s="4" t="s">
        <v>25</v>
      </c>
      <c r="D289" s="4" t="s">
        <v>26</v>
      </c>
      <c r="E289" s="5" t="str">
        <f>"9420276"</f>
        <v>9420276</v>
      </c>
      <c r="F289" s="3" t="s">
        <v>976</v>
      </c>
      <c r="G289" s="5">
        <v>2531027262</v>
      </c>
      <c r="H289" s="4" t="s">
        <v>977</v>
      </c>
      <c r="I289" s="4" t="s">
        <v>915</v>
      </c>
      <c r="J289" s="4" t="s">
        <v>915</v>
      </c>
      <c r="K289" s="4" t="s">
        <v>978</v>
      </c>
      <c r="L289" s="5">
        <v>69100</v>
      </c>
    </row>
    <row r="290" spans="1:12" ht="30" x14ac:dyDescent="0.25">
      <c r="A290" s="3" t="s">
        <v>12</v>
      </c>
      <c r="B290" s="4" t="s">
        <v>912</v>
      </c>
      <c r="C290" s="4" t="s">
        <v>14</v>
      </c>
      <c r="D290" s="4" t="s">
        <v>15</v>
      </c>
      <c r="E290" s="5" t="str">
        <f>"9420070"</f>
        <v>9420070</v>
      </c>
      <c r="F290" s="3" t="s">
        <v>979</v>
      </c>
      <c r="G290" s="5">
        <v>2531022146</v>
      </c>
      <c r="H290" s="4" t="s">
        <v>980</v>
      </c>
      <c r="I290" s="4" t="s">
        <v>915</v>
      </c>
      <c r="J290" s="4" t="s">
        <v>916</v>
      </c>
      <c r="K290" s="4" t="s">
        <v>981</v>
      </c>
      <c r="L290" s="5">
        <v>69132</v>
      </c>
    </row>
    <row r="291" spans="1:12" ht="30" x14ac:dyDescent="0.25">
      <c r="A291" s="3" t="s">
        <v>12</v>
      </c>
      <c r="B291" s="4" t="s">
        <v>912</v>
      </c>
      <c r="C291" s="4" t="s">
        <v>14</v>
      </c>
      <c r="D291" s="4" t="s">
        <v>15</v>
      </c>
      <c r="E291" s="5" t="str">
        <f>"9420007"</f>
        <v>9420007</v>
      </c>
      <c r="F291" s="3" t="s">
        <v>982</v>
      </c>
      <c r="G291" s="5">
        <v>2531071405</v>
      </c>
      <c r="H291" s="4" t="s">
        <v>983</v>
      </c>
      <c r="I291" s="4" t="s">
        <v>915</v>
      </c>
      <c r="J291" s="4" t="s">
        <v>916</v>
      </c>
      <c r="K291" s="4" t="s">
        <v>984</v>
      </c>
      <c r="L291" s="5">
        <v>69133</v>
      </c>
    </row>
    <row r="292" spans="1:12" ht="30" x14ac:dyDescent="0.25">
      <c r="A292" s="3" t="s">
        <v>12</v>
      </c>
      <c r="B292" s="4" t="s">
        <v>912</v>
      </c>
      <c r="C292" s="4" t="s">
        <v>14</v>
      </c>
      <c r="D292" s="4" t="s">
        <v>15</v>
      </c>
      <c r="E292" s="5" t="str">
        <f>"9420072"</f>
        <v>9420072</v>
      </c>
      <c r="F292" s="3" t="s">
        <v>985</v>
      </c>
      <c r="G292" s="5">
        <v>2531023036</v>
      </c>
      <c r="H292" s="4" t="s">
        <v>986</v>
      </c>
      <c r="I292" s="4" t="s">
        <v>915</v>
      </c>
      <c r="J292" s="4" t="s">
        <v>916</v>
      </c>
      <c r="K292" s="4" t="s">
        <v>987</v>
      </c>
      <c r="L292" s="5">
        <v>69132</v>
      </c>
    </row>
    <row r="293" spans="1:12" ht="30" x14ac:dyDescent="0.25">
      <c r="A293" s="3" t="s">
        <v>12</v>
      </c>
      <c r="B293" s="4" t="s">
        <v>912</v>
      </c>
      <c r="C293" s="4" t="s">
        <v>14</v>
      </c>
      <c r="D293" s="4" t="s">
        <v>830</v>
      </c>
      <c r="E293" s="5" t="str">
        <f>"9420005"</f>
        <v>9420005</v>
      </c>
      <c r="F293" s="3" t="s">
        <v>988</v>
      </c>
      <c r="G293" s="5">
        <v>2531022365</v>
      </c>
      <c r="H293" s="4" t="s">
        <v>989</v>
      </c>
      <c r="I293" s="4" t="s">
        <v>915</v>
      </c>
      <c r="J293" s="4" t="s">
        <v>916</v>
      </c>
      <c r="K293" s="4" t="s">
        <v>990</v>
      </c>
      <c r="L293" s="5">
        <v>69100</v>
      </c>
    </row>
    <row r="294" spans="1:12" ht="30" x14ac:dyDescent="0.25">
      <c r="A294" s="3" t="s">
        <v>12</v>
      </c>
      <c r="B294" s="4" t="s">
        <v>912</v>
      </c>
      <c r="C294" s="4" t="s">
        <v>14</v>
      </c>
      <c r="D294" s="4" t="s">
        <v>15</v>
      </c>
      <c r="E294" s="5" t="str">
        <f>"9420074"</f>
        <v>9420074</v>
      </c>
      <c r="F294" s="3" t="s">
        <v>991</v>
      </c>
      <c r="G294" s="5">
        <v>2531022712</v>
      </c>
      <c r="H294" s="4" t="s">
        <v>992</v>
      </c>
      <c r="I294" s="4" t="s">
        <v>915</v>
      </c>
      <c r="J294" s="4" t="s">
        <v>916</v>
      </c>
      <c r="K294" s="4" t="s">
        <v>993</v>
      </c>
      <c r="L294" s="5">
        <v>69100</v>
      </c>
    </row>
    <row r="295" spans="1:12" ht="30" x14ac:dyDescent="0.25">
      <c r="A295" s="3" t="s">
        <v>12</v>
      </c>
      <c r="B295" s="4" t="s">
        <v>912</v>
      </c>
      <c r="C295" s="4" t="s">
        <v>14</v>
      </c>
      <c r="D295" s="4" t="s">
        <v>438</v>
      </c>
      <c r="E295" s="5" t="str">
        <f>"9420201"</f>
        <v>9420201</v>
      </c>
      <c r="F295" s="3" t="s">
        <v>994</v>
      </c>
      <c r="G295" s="5">
        <v>2531061632</v>
      </c>
      <c r="H295" s="4" t="s">
        <v>995</v>
      </c>
      <c r="I295" s="4" t="s">
        <v>937</v>
      </c>
      <c r="J295" s="4" t="s">
        <v>996</v>
      </c>
      <c r="K295" s="4" t="s">
        <v>996</v>
      </c>
      <c r="L295" s="5">
        <v>69300</v>
      </c>
    </row>
    <row r="296" spans="1:12" ht="30" x14ac:dyDescent="0.25">
      <c r="A296" s="3" t="s">
        <v>12</v>
      </c>
      <c r="B296" s="4" t="s">
        <v>912</v>
      </c>
      <c r="C296" s="4" t="s">
        <v>14</v>
      </c>
      <c r="D296" s="4" t="s">
        <v>179</v>
      </c>
      <c r="E296" s="5" t="str">
        <f>"9420015"</f>
        <v>9420015</v>
      </c>
      <c r="F296" s="3" t="s">
        <v>997</v>
      </c>
      <c r="G296" s="5">
        <v>2531082002</v>
      </c>
      <c r="H296" s="4" t="s">
        <v>998</v>
      </c>
      <c r="I296" s="4" t="s">
        <v>915</v>
      </c>
      <c r="J296" s="4" t="s">
        <v>999</v>
      </c>
      <c r="K296" s="4" t="s">
        <v>1000</v>
      </c>
      <c r="L296" s="5">
        <v>69100</v>
      </c>
    </row>
    <row r="297" spans="1:12" ht="30" x14ac:dyDescent="0.25">
      <c r="A297" s="3" t="s">
        <v>12</v>
      </c>
      <c r="B297" s="4" t="s">
        <v>912</v>
      </c>
      <c r="C297" s="4" t="s">
        <v>14</v>
      </c>
      <c r="D297" s="4" t="s">
        <v>960</v>
      </c>
      <c r="E297" s="5" t="str">
        <f>"9420115"</f>
        <v>9420115</v>
      </c>
      <c r="F297" s="3" t="s">
        <v>1001</v>
      </c>
      <c r="G297" s="5">
        <v>2532022066</v>
      </c>
      <c r="H297" s="4" t="s">
        <v>1002</v>
      </c>
      <c r="I297" s="4" t="s">
        <v>920</v>
      </c>
      <c r="J297" s="4" t="s">
        <v>1003</v>
      </c>
      <c r="K297" s="4" t="s">
        <v>1004</v>
      </c>
      <c r="L297" s="5">
        <v>69300</v>
      </c>
    </row>
    <row r="298" spans="1:12" ht="30" x14ac:dyDescent="0.25">
      <c r="A298" s="3" t="s">
        <v>12</v>
      </c>
      <c r="B298" s="4" t="s">
        <v>912</v>
      </c>
      <c r="C298" s="4" t="s">
        <v>14</v>
      </c>
      <c r="D298" s="4" t="s">
        <v>15</v>
      </c>
      <c r="E298" s="5" t="str">
        <f>"9420273"</f>
        <v>9420273</v>
      </c>
      <c r="F298" s="3" t="s">
        <v>1005</v>
      </c>
      <c r="G298" s="5">
        <v>2531028262</v>
      </c>
      <c r="H298" s="4" t="s">
        <v>1006</v>
      </c>
      <c r="I298" s="4" t="s">
        <v>915</v>
      </c>
      <c r="J298" s="4" t="s">
        <v>916</v>
      </c>
      <c r="K298" s="4" t="s">
        <v>1007</v>
      </c>
      <c r="L298" s="5">
        <v>69100</v>
      </c>
    </row>
    <row r="299" spans="1:12" ht="30" x14ac:dyDescent="0.25">
      <c r="A299" s="3" t="s">
        <v>12</v>
      </c>
      <c r="B299" s="4" t="s">
        <v>912</v>
      </c>
      <c r="C299" s="4" t="s">
        <v>14</v>
      </c>
      <c r="D299" s="4" t="s">
        <v>15</v>
      </c>
      <c r="E299" s="5" t="str">
        <f>"9420285"</f>
        <v>9420285</v>
      </c>
      <c r="F299" s="3" t="s">
        <v>1008</v>
      </c>
      <c r="G299" s="5">
        <v>2531085926</v>
      </c>
      <c r="H299" s="4" t="s">
        <v>1009</v>
      </c>
      <c r="I299" s="4" t="s">
        <v>915</v>
      </c>
      <c r="J299" s="4" t="s">
        <v>916</v>
      </c>
      <c r="K299" s="4" t="s">
        <v>1010</v>
      </c>
      <c r="L299" s="5">
        <v>69133</v>
      </c>
    </row>
    <row r="300" spans="1:12" ht="30" x14ac:dyDescent="0.25">
      <c r="A300" s="3" t="s">
        <v>12</v>
      </c>
      <c r="B300" s="4" t="s">
        <v>912</v>
      </c>
      <c r="C300" s="4" t="s">
        <v>25</v>
      </c>
      <c r="D300" s="4" t="s">
        <v>26</v>
      </c>
      <c r="E300" s="5" t="str">
        <f>"9520939"</f>
        <v>9520939</v>
      </c>
      <c r="F300" s="3" t="s">
        <v>1011</v>
      </c>
      <c r="G300" s="5">
        <v>2532350315</v>
      </c>
      <c r="H300" s="4" t="s">
        <v>1012</v>
      </c>
      <c r="I300" s="4" t="s">
        <v>937</v>
      </c>
      <c r="J300" s="4" t="s">
        <v>939</v>
      </c>
      <c r="K300" s="4" t="s">
        <v>939</v>
      </c>
      <c r="L300" s="5">
        <v>69300</v>
      </c>
    </row>
    <row r="301" spans="1:12" ht="30" x14ac:dyDescent="0.25">
      <c r="A301" s="3" t="s">
        <v>12</v>
      </c>
      <c r="B301" s="4" t="s">
        <v>912</v>
      </c>
      <c r="C301" s="4" t="s">
        <v>25</v>
      </c>
      <c r="D301" s="4" t="s">
        <v>26</v>
      </c>
      <c r="E301" s="5" t="str">
        <f>"9420114"</f>
        <v>9420114</v>
      </c>
      <c r="F301" s="3" t="s">
        <v>1013</v>
      </c>
      <c r="G301" s="5">
        <v>2532022189</v>
      </c>
      <c r="H301" s="4" t="s">
        <v>1014</v>
      </c>
      <c r="I301" s="4" t="s">
        <v>920</v>
      </c>
      <c r="J301" s="4" t="s">
        <v>921</v>
      </c>
      <c r="K301" s="4" t="s">
        <v>1015</v>
      </c>
      <c r="L301" s="5">
        <v>69300</v>
      </c>
    </row>
    <row r="302" spans="1:12" ht="30" x14ac:dyDescent="0.25">
      <c r="A302" s="3" t="s">
        <v>12</v>
      </c>
      <c r="B302" s="4" t="s">
        <v>912</v>
      </c>
      <c r="C302" s="4" t="s">
        <v>25</v>
      </c>
      <c r="D302" s="4" t="s">
        <v>26</v>
      </c>
      <c r="E302" s="5" t="str">
        <f>"9420071"</f>
        <v>9420071</v>
      </c>
      <c r="F302" s="3" t="s">
        <v>1016</v>
      </c>
      <c r="G302" s="5">
        <v>2531350569</v>
      </c>
      <c r="H302" s="4" t="s">
        <v>1017</v>
      </c>
      <c r="I302" s="4" t="s">
        <v>915</v>
      </c>
      <c r="J302" s="4" t="s">
        <v>915</v>
      </c>
      <c r="K302" s="4" t="s">
        <v>981</v>
      </c>
      <c r="L302" s="5">
        <v>69100</v>
      </c>
    </row>
    <row r="303" spans="1:12" ht="30" x14ac:dyDescent="0.25">
      <c r="A303" s="3" t="s">
        <v>12</v>
      </c>
      <c r="B303" s="4" t="s">
        <v>912</v>
      </c>
      <c r="C303" s="4" t="s">
        <v>25</v>
      </c>
      <c r="D303" s="4" t="s">
        <v>26</v>
      </c>
      <c r="E303" s="5" t="str">
        <f>"9420289"</f>
        <v>9420289</v>
      </c>
      <c r="F303" s="3" t="s">
        <v>1018</v>
      </c>
      <c r="G303" s="5">
        <v>2532350322</v>
      </c>
      <c r="H303" s="4" t="s">
        <v>1019</v>
      </c>
      <c r="I303" s="4" t="s">
        <v>920</v>
      </c>
      <c r="J303" s="4" t="s">
        <v>921</v>
      </c>
      <c r="K303" s="4" t="s">
        <v>1020</v>
      </c>
      <c r="L303" s="5">
        <v>69300</v>
      </c>
    </row>
    <row r="304" spans="1:12" ht="30" x14ac:dyDescent="0.25">
      <c r="A304" s="3" t="s">
        <v>12</v>
      </c>
      <c r="B304" s="4" t="s">
        <v>912</v>
      </c>
      <c r="C304" s="4" t="s">
        <v>25</v>
      </c>
      <c r="D304" s="4" t="s">
        <v>26</v>
      </c>
      <c r="E304" s="5" t="str">
        <f>"9420272"</f>
        <v>9420272</v>
      </c>
      <c r="F304" s="3" t="s">
        <v>1021</v>
      </c>
      <c r="G304" s="5">
        <v>2531021629</v>
      </c>
      <c r="H304" s="4" t="s">
        <v>1022</v>
      </c>
      <c r="I304" s="4" t="s">
        <v>915</v>
      </c>
      <c r="J304" s="4" t="s">
        <v>915</v>
      </c>
      <c r="K304" s="4" t="s">
        <v>942</v>
      </c>
      <c r="L304" s="5">
        <v>69131</v>
      </c>
    </row>
    <row r="305" spans="1:12" ht="30" x14ac:dyDescent="0.25">
      <c r="A305" s="3" t="s">
        <v>12</v>
      </c>
      <c r="B305" s="4" t="s">
        <v>912</v>
      </c>
      <c r="C305" s="4" t="s">
        <v>25</v>
      </c>
      <c r="D305" s="4" t="s">
        <v>26</v>
      </c>
      <c r="E305" s="5" t="str">
        <f>"9420073"</f>
        <v>9420073</v>
      </c>
      <c r="F305" s="3" t="s">
        <v>1023</v>
      </c>
      <c r="G305" s="5">
        <v>2531022000</v>
      </c>
      <c r="H305" s="4" t="s">
        <v>1024</v>
      </c>
      <c r="I305" s="4" t="s">
        <v>915</v>
      </c>
      <c r="J305" s="4" t="s">
        <v>916</v>
      </c>
      <c r="K305" s="4" t="s">
        <v>1025</v>
      </c>
      <c r="L305" s="5">
        <v>69132</v>
      </c>
    </row>
    <row r="306" spans="1:12" ht="30" x14ac:dyDescent="0.25">
      <c r="A306" s="3" t="s">
        <v>12</v>
      </c>
      <c r="B306" s="4" t="s">
        <v>912</v>
      </c>
      <c r="C306" s="4" t="s">
        <v>25</v>
      </c>
      <c r="D306" s="4" t="s">
        <v>26</v>
      </c>
      <c r="E306" s="5" t="str">
        <f>"9420006"</f>
        <v>9420006</v>
      </c>
      <c r="F306" s="3" t="s">
        <v>1026</v>
      </c>
      <c r="G306" s="5">
        <v>2531023874</v>
      </c>
      <c r="H306" s="4" t="s">
        <v>1027</v>
      </c>
      <c r="I306" s="4" t="s">
        <v>915</v>
      </c>
      <c r="J306" s="4" t="s">
        <v>916</v>
      </c>
      <c r="K306" s="4" t="s">
        <v>1028</v>
      </c>
      <c r="L306" s="5">
        <v>69133</v>
      </c>
    </row>
    <row r="307" spans="1:12" ht="30" x14ac:dyDescent="0.25">
      <c r="A307" s="3" t="s">
        <v>12</v>
      </c>
      <c r="B307" s="4" t="s">
        <v>912</v>
      </c>
      <c r="C307" s="4" t="s">
        <v>25</v>
      </c>
      <c r="D307" s="4" t="s">
        <v>26</v>
      </c>
      <c r="E307" s="5" t="str">
        <f>"9420075"</f>
        <v>9420075</v>
      </c>
      <c r="F307" s="3" t="s">
        <v>1029</v>
      </c>
      <c r="G307" s="5">
        <v>2531027491</v>
      </c>
      <c r="H307" s="4" t="s">
        <v>1030</v>
      </c>
      <c r="I307" s="4" t="s">
        <v>915</v>
      </c>
      <c r="J307" s="4" t="s">
        <v>915</v>
      </c>
      <c r="K307" s="4" t="s">
        <v>1031</v>
      </c>
      <c r="L307" s="5">
        <v>69100</v>
      </c>
    </row>
    <row r="308" spans="1:12" ht="30" x14ac:dyDescent="0.25">
      <c r="A308" s="3" t="s">
        <v>12</v>
      </c>
      <c r="B308" s="4" t="s">
        <v>912</v>
      </c>
      <c r="C308" s="4" t="s">
        <v>25</v>
      </c>
      <c r="D308" s="4" t="s">
        <v>26</v>
      </c>
      <c r="E308" s="5" t="str">
        <f>"9420280"</f>
        <v>9420280</v>
      </c>
      <c r="F308" s="3" t="s">
        <v>1032</v>
      </c>
      <c r="G308" s="5">
        <v>2531021627</v>
      </c>
      <c r="H308" s="4" t="s">
        <v>1033</v>
      </c>
      <c r="I308" s="4" t="s">
        <v>915</v>
      </c>
      <c r="J308" s="4" t="s">
        <v>915</v>
      </c>
      <c r="K308" s="4" t="s">
        <v>1034</v>
      </c>
      <c r="L308" s="5">
        <v>69100</v>
      </c>
    </row>
    <row r="309" spans="1:12" ht="30" x14ac:dyDescent="0.25">
      <c r="A309" s="3" t="s">
        <v>12</v>
      </c>
      <c r="B309" s="4" t="s">
        <v>912</v>
      </c>
      <c r="C309" s="4" t="s">
        <v>25</v>
      </c>
      <c r="D309" s="4" t="s">
        <v>26</v>
      </c>
      <c r="E309" s="5" t="str">
        <f>"9420281"</f>
        <v>9420281</v>
      </c>
      <c r="F309" s="3" t="s">
        <v>1035</v>
      </c>
      <c r="G309" s="5">
        <v>2531027491</v>
      </c>
      <c r="H309" s="4" t="s">
        <v>1036</v>
      </c>
      <c r="I309" s="4" t="s">
        <v>915</v>
      </c>
      <c r="J309" s="4" t="s">
        <v>915</v>
      </c>
      <c r="K309" s="4" t="s">
        <v>1031</v>
      </c>
      <c r="L309" s="5">
        <v>69100</v>
      </c>
    </row>
    <row r="310" spans="1:12" ht="30" x14ac:dyDescent="0.25">
      <c r="A310" s="3" t="s">
        <v>12</v>
      </c>
      <c r="B310" s="4" t="s">
        <v>912</v>
      </c>
      <c r="C310" s="4" t="s">
        <v>25</v>
      </c>
      <c r="D310" s="4" t="s">
        <v>26</v>
      </c>
      <c r="E310" s="5" t="str">
        <f>"9420282"</f>
        <v>9420282</v>
      </c>
      <c r="F310" s="3" t="s">
        <v>1037</v>
      </c>
      <c r="G310" s="5">
        <v>2531021767</v>
      </c>
      <c r="H310" s="4" t="s">
        <v>1038</v>
      </c>
      <c r="I310" s="4" t="s">
        <v>915</v>
      </c>
      <c r="J310" s="4" t="s">
        <v>915</v>
      </c>
      <c r="K310" s="4" t="s">
        <v>1039</v>
      </c>
      <c r="L310" s="5">
        <v>69100</v>
      </c>
    </row>
    <row r="311" spans="1:12" ht="30" x14ac:dyDescent="0.25">
      <c r="A311" s="3" t="s">
        <v>12</v>
      </c>
      <c r="B311" s="4" t="s">
        <v>912</v>
      </c>
      <c r="C311" s="4" t="s">
        <v>25</v>
      </c>
      <c r="D311" s="4" t="s">
        <v>26</v>
      </c>
      <c r="E311" s="5" t="str">
        <f>"9420286"</f>
        <v>9420286</v>
      </c>
      <c r="F311" s="3" t="s">
        <v>1040</v>
      </c>
      <c r="G311" s="5">
        <v>2531031369</v>
      </c>
      <c r="H311" s="4" t="s">
        <v>1041</v>
      </c>
      <c r="I311" s="4" t="s">
        <v>915</v>
      </c>
      <c r="J311" s="4" t="s">
        <v>915</v>
      </c>
      <c r="K311" s="4" t="s">
        <v>1042</v>
      </c>
      <c r="L311" s="5">
        <v>69100</v>
      </c>
    </row>
    <row r="312" spans="1:12" ht="30" x14ac:dyDescent="0.25">
      <c r="A312" s="3" t="s">
        <v>12</v>
      </c>
      <c r="B312" s="4" t="s">
        <v>912</v>
      </c>
      <c r="C312" s="4" t="s">
        <v>14</v>
      </c>
      <c r="D312" s="4" t="s">
        <v>15</v>
      </c>
      <c r="E312" s="5" t="str">
        <f>"9420093"</f>
        <v>9420093</v>
      </c>
      <c r="F312" s="3" t="s">
        <v>1043</v>
      </c>
      <c r="G312" s="5">
        <v>2531025862</v>
      </c>
      <c r="H312" s="4" t="s">
        <v>1044</v>
      </c>
      <c r="I312" s="4" t="s">
        <v>915</v>
      </c>
      <c r="J312" s="4" t="s">
        <v>1045</v>
      </c>
      <c r="K312" s="4" t="s">
        <v>1046</v>
      </c>
      <c r="L312" s="5">
        <v>69100</v>
      </c>
    </row>
    <row r="313" spans="1:12" ht="30" x14ac:dyDescent="0.25">
      <c r="A313" s="3" t="s">
        <v>12</v>
      </c>
      <c r="B313" s="4" t="s">
        <v>912</v>
      </c>
      <c r="C313" s="4" t="s">
        <v>25</v>
      </c>
      <c r="D313" s="4" t="s">
        <v>26</v>
      </c>
      <c r="E313" s="5" t="str">
        <f>"9521301"</f>
        <v>9521301</v>
      </c>
      <c r="F313" s="3" t="s">
        <v>1047</v>
      </c>
      <c r="G313" s="5">
        <v>2531020281</v>
      </c>
      <c r="H313" s="4" t="s">
        <v>1048</v>
      </c>
      <c r="I313" s="4" t="s">
        <v>915</v>
      </c>
      <c r="J313" s="4" t="s">
        <v>916</v>
      </c>
      <c r="K313" s="4" t="s">
        <v>1049</v>
      </c>
      <c r="L313" s="5">
        <v>69100</v>
      </c>
    </row>
    <row r="314" spans="1:12" ht="30" x14ac:dyDescent="0.25">
      <c r="A314" s="3" t="s">
        <v>12</v>
      </c>
      <c r="B314" s="4" t="s">
        <v>912</v>
      </c>
      <c r="C314" s="4" t="s">
        <v>14</v>
      </c>
      <c r="D314" s="4" t="s">
        <v>15</v>
      </c>
      <c r="E314" s="5" t="str">
        <f>"9420001"</f>
        <v>9420001</v>
      </c>
      <c r="F314" s="3" t="s">
        <v>1050</v>
      </c>
      <c r="G314" s="5">
        <v>2531022020</v>
      </c>
      <c r="H314" s="4" t="s">
        <v>1051</v>
      </c>
      <c r="I314" s="4" t="s">
        <v>915</v>
      </c>
      <c r="J314" s="4" t="s">
        <v>1052</v>
      </c>
      <c r="K314" s="4" t="s">
        <v>1053</v>
      </c>
      <c r="L314" s="5">
        <v>69132</v>
      </c>
    </row>
    <row r="315" spans="1:12" ht="30" x14ac:dyDescent="0.25">
      <c r="A315" s="3" t="s">
        <v>12</v>
      </c>
      <c r="B315" s="4" t="s">
        <v>912</v>
      </c>
      <c r="C315" s="4" t="s">
        <v>25</v>
      </c>
      <c r="D315" s="4" t="s">
        <v>26</v>
      </c>
      <c r="E315" s="5" t="str">
        <f>"9521715"</f>
        <v>9521715</v>
      </c>
      <c r="F315" s="3" t="s">
        <v>1054</v>
      </c>
      <c r="G315" s="5">
        <v>2531042059</v>
      </c>
      <c r="H315" s="4" t="s">
        <v>1055</v>
      </c>
      <c r="I315" s="4" t="s">
        <v>937</v>
      </c>
      <c r="J315" s="4" t="s">
        <v>948</v>
      </c>
      <c r="K315" s="4" t="s">
        <v>1056</v>
      </c>
      <c r="L315" s="5">
        <v>69300</v>
      </c>
    </row>
    <row r="316" spans="1:12" x14ac:dyDescent="0.25">
      <c r="A316" s="3" t="s">
        <v>1057</v>
      </c>
      <c r="B316" s="4" t="s">
        <v>1058</v>
      </c>
      <c r="C316" s="4" t="s">
        <v>25</v>
      </c>
      <c r="D316" s="4" t="s">
        <v>26</v>
      </c>
      <c r="E316" s="5" t="str">
        <f>"9050942"</f>
        <v>9050942</v>
      </c>
      <c r="F316" s="3" t="s">
        <v>1059</v>
      </c>
      <c r="G316" s="5">
        <v>2107707653</v>
      </c>
      <c r="H316" s="4" t="s">
        <v>1060</v>
      </c>
      <c r="I316" s="4" t="s">
        <v>1061</v>
      </c>
      <c r="J316" s="4" t="s">
        <v>1061</v>
      </c>
      <c r="K316" s="4" t="s">
        <v>1062</v>
      </c>
      <c r="L316" s="5">
        <v>15773</v>
      </c>
    </row>
    <row r="317" spans="1:12" x14ac:dyDescent="0.25">
      <c r="A317" s="3" t="s">
        <v>1057</v>
      </c>
      <c r="B317" s="4" t="s">
        <v>1058</v>
      </c>
      <c r="C317" s="4" t="s">
        <v>14</v>
      </c>
      <c r="D317" s="4" t="s">
        <v>15</v>
      </c>
      <c r="E317" s="5" t="str">
        <f>"9050127"</f>
        <v>9050127</v>
      </c>
      <c r="F317" s="3" t="s">
        <v>1063</v>
      </c>
      <c r="G317" s="5">
        <v>2107653130</v>
      </c>
      <c r="H317" s="4" t="s">
        <v>1064</v>
      </c>
      <c r="I317" s="4" t="s">
        <v>1065</v>
      </c>
      <c r="J317" s="4" t="s">
        <v>1066</v>
      </c>
      <c r="K317" s="4" t="s">
        <v>1067</v>
      </c>
      <c r="L317" s="5">
        <v>16231</v>
      </c>
    </row>
    <row r="318" spans="1:12" x14ac:dyDescent="0.25">
      <c r="A318" s="3" t="s">
        <v>1057</v>
      </c>
      <c r="B318" s="4" t="s">
        <v>1058</v>
      </c>
      <c r="C318" s="4" t="s">
        <v>14</v>
      </c>
      <c r="D318" s="4" t="s">
        <v>15</v>
      </c>
      <c r="E318" s="5" t="str">
        <f>"9050209"</f>
        <v>9050209</v>
      </c>
      <c r="F318" s="3" t="s">
        <v>1068</v>
      </c>
      <c r="G318" s="5">
        <v>2109013143</v>
      </c>
      <c r="H318" s="4" t="s">
        <v>1069</v>
      </c>
      <c r="I318" s="4" t="s">
        <v>1070</v>
      </c>
      <c r="J318" s="4" t="s">
        <v>1071</v>
      </c>
      <c r="K318" s="4" t="s">
        <v>1072</v>
      </c>
      <c r="L318" s="5">
        <v>11745</v>
      </c>
    </row>
    <row r="319" spans="1:12" x14ac:dyDescent="0.25">
      <c r="A319" s="3" t="s">
        <v>1057</v>
      </c>
      <c r="B319" s="4" t="s">
        <v>1058</v>
      </c>
      <c r="C319" s="4" t="s">
        <v>25</v>
      </c>
      <c r="D319" s="4" t="s">
        <v>26</v>
      </c>
      <c r="E319" s="5" t="str">
        <f>"9050116"</f>
        <v>9050116</v>
      </c>
      <c r="F319" s="3" t="s">
        <v>1073</v>
      </c>
      <c r="G319" s="5">
        <v>2107237997</v>
      </c>
      <c r="H319" s="4" t="s">
        <v>1074</v>
      </c>
      <c r="I319" s="4" t="s">
        <v>1075</v>
      </c>
      <c r="J319" s="4" t="s">
        <v>1075</v>
      </c>
      <c r="K319" s="4" t="s">
        <v>1076</v>
      </c>
      <c r="L319" s="5">
        <v>16121</v>
      </c>
    </row>
    <row r="320" spans="1:12" x14ac:dyDescent="0.25">
      <c r="A320" s="3" t="s">
        <v>1057</v>
      </c>
      <c r="B320" s="4" t="s">
        <v>1058</v>
      </c>
      <c r="C320" s="4" t="s">
        <v>14</v>
      </c>
      <c r="D320" s="4" t="s">
        <v>15</v>
      </c>
      <c r="E320" s="5" t="str">
        <f>"9050087"</f>
        <v>9050087</v>
      </c>
      <c r="F320" s="3" t="s">
        <v>1077</v>
      </c>
      <c r="G320" s="5">
        <v>2107777857</v>
      </c>
      <c r="H320" s="4" t="s">
        <v>1078</v>
      </c>
      <c r="I320" s="4" t="s">
        <v>1061</v>
      </c>
      <c r="J320" s="4" t="s">
        <v>1061</v>
      </c>
      <c r="K320" s="4" t="s">
        <v>1079</v>
      </c>
      <c r="L320" s="5">
        <v>15772</v>
      </c>
    </row>
    <row r="321" spans="1:12" x14ac:dyDescent="0.25">
      <c r="A321" s="3" t="s">
        <v>1057</v>
      </c>
      <c r="B321" s="4" t="s">
        <v>1058</v>
      </c>
      <c r="C321" s="4" t="s">
        <v>14</v>
      </c>
      <c r="D321" s="4" t="s">
        <v>15</v>
      </c>
      <c r="E321" s="5" t="str">
        <f>"9050300"</f>
        <v>9050300</v>
      </c>
      <c r="F321" s="3" t="s">
        <v>1080</v>
      </c>
      <c r="G321" s="5">
        <v>2105231470</v>
      </c>
      <c r="H321" s="4" t="s">
        <v>1081</v>
      </c>
      <c r="I321" s="4" t="s">
        <v>1070</v>
      </c>
      <c r="J321" s="4" t="s">
        <v>1071</v>
      </c>
      <c r="K321" s="4" t="s">
        <v>1082</v>
      </c>
      <c r="L321" s="5">
        <v>10438</v>
      </c>
    </row>
    <row r="322" spans="1:12" x14ac:dyDescent="0.25">
      <c r="A322" s="3" t="s">
        <v>1057</v>
      </c>
      <c r="B322" s="4" t="s">
        <v>1058</v>
      </c>
      <c r="C322" s="4" t="s">
        <v>25</v>
      </c>
      <c r="D322" s="4" t="s">
        <v>26</v>
      </c>
      <c r="E322" s="5" t="str">
        <f>"9051493"</f>
        <v>9051493</v>
      </c>
      <c r="F322" s="3" t="s">
        <v>1083</v>
      </c>
      <c r="G322" s="5">
        <v>2107651570</v>
      </c>
      <c r="H322" s="4" t="s">
        <v>1084</v>
      </c>
      <c r="I322" s="4" t="s">
        <v>1065</v>
      </c>
      <c r="J322" s="4" t="s">
        <v>1085</v>
      </c>
      <c r="K322" s="4" t="s">
        <v>1086</v>
      </c>
      <c r="L322" s="5">
        <v>16231</v>
      </c>
    </row>
    <row r="323" spans="1:12" x14ac:dyDescent="0.25">
      <c r="A323" s="3" t="s">
        <v>1057</v>
      </c>
      <c r="B323" s="4" t="s">
        <v>1058</v>
      </c>
      <c r="C323" s="4" t="s">
        <v>25</v>
      </c>
      <c r="D323" s="4" t="s">
        <v>26</v>
      </c>
      <c r="E323" s="5" t="str">
        <f>"9050981"</f>
        <v>9050981</v>
      </c>
      <c r="F323" s="3" t="s">
        <v>1087</v>
      </c>
      <c r="G323" s="5">
        <v>2107218016</v>
      </c>
      <c r="H323" s="4" t="s">
        <v>1088</v>
      </c>
      <c r="I323" s="4" t="s">
        <v>1075</v>
      </c>
      <c r="J323" s="4" t="s">
        <v>1075</v>
      </c>
      <c r="K323" s="4" t="s">
        <v>1089</v>
      </c>
      <c r="L323" s="5">
        <v>16122</v>
      </c>
    </row>
    <row r="324" spans="1:12" x14ac:dyDescent="0.25">
      <c r="A324" s="3" t="s">
        <v>1057</v>
      </c>
      <c r="B324" s="4" t="s">
        <v>1058</v>
      </c>
      <c r="C324" s="4" t="s">
        <v>25</v>
      </c>
      <c r="D324" s="4" t="s">
        <v>26</v>
      </c>
      <c r="E324" s="5" t="str">
        <f>"9050117"</f>
        <v>9050117</v>
      </c>
      <c r="F324" s="3" t="s">
        <v>1090</v>
      </c>
      <c r="G324" s="5">
        <v>2107218016</v>
      </c>
      <c r="H324" s="4" t="s">
        <v>1091</v>
      </c>
      <c r="I324" s="4" t="s">
        <v>1075</v>
      </c>
      <c r="J324" s="4" t="s">
        <v>1075</v>
      </c>
      <c r="K324" s="4" t="s">
        <v>1089</v>
      </c>
      <c r="L324" s="5">
        <v>16122</v>
      </c>
    </row>
    <row r="325" spans="1:12" x14ac:dyDescent="0.25">
      <c r="A325" s="3" t="s">
        <v>1057</v>
      </c>
      <c r="B325" s="4" t="s">
        <v>1058</v>
      </c>
      <c r="C325" s="4" t="s">
        <v>14</v>
      </c>
      <c r="D325" s="4" t="s">
        <v>15</v>
      </c>
      <c r="E325" s="5" t="str">
        <f>"9050003"</f>
        <v>9050003</v>
      </c>
      <c r="F325" s="3" t="s">
        <v>1092</v>
      </c>
      <c r="G325" s="5">
        <v>2106467823</v>
      </c>
      <c r="H325" s="4" t="s">
        <v>1093</v>
      </c>
      <c r="I325" s="4" t="s">
        <v>1070</v>
      </c>
      <c r="J325" s="4" t="s">
        <v>1094</v>
      </c>
      <c r="K325" s="4" t="s">
        <v>1095</v>
      </c>
      <c r="L325" s="5">
        <v>11522</v>
      </c>
    </row>
    <row r="326" spans="1:12" x14ac:dyDescent="0.25">
      <c r="A326" s="3" t="s">
        <v>1057</v>
      </c>
      <c r="B326" s="4" t="s">
        <v>1058</v>
      </c>
      <c r="C326" s="4" t="s">
        <v>25</v>
      </c>
      <c r="D326" s="4" t="s">
        <v>26</v>
      </c>
      <c r="E326" s="5" t="str">
        <f>"9050980"</f>
        <v>9050980</v>
      </c>
      <c r="F326" s="3" t="s">
        <v>1096</v>
      </c>
      <c r="G326" s="5">
        <v>2107705029</v>
      </c>
      <c r="H326" s="4" t="s">
        <v>1097</v>
      </c>
      <c r="I326" s="4" t="s">
        <v>1061</v>
      </c>
      <c r="J326" s="4" t="s">
        <v>1061</v>
      </c>
      <c r="K326" s="4" t="s">
        <v>1098</v>
      </c>
      <c r="L326" s="5">
        <v>15772</v>
      </c>
    </row>
    <row r="327" spans="1:12" x14ac:dyDescent="0.25">
      <c r="A327" s="3" t="s">
        <v>1057</v>
      </c>
      <c r="B327" s="4" t="s">
        <v>1058</v>
      </c>
      <c r="C327" s="4" t="s">
        <v>25</v>
      </c>
      <c r="D327" s="4" t="s">
        <v>26</v>
      </c>
      <c r="E327" s="5" t="str">
        <f>"9051193"</f>
        <v>9051193</v>
      </c>
      <c r="F327" s="3" t="s">
        <v>1099</v>
      </c>
      <c r="G327" s="5">
        <v>2107660145</v>
      </c>
      <c r="H327" s="4" t="s">
        <v>1100</v>
      </c>
      <c r="I327" s="4" t="s">
        <v>1075</v>
      </c>
      <c r="J327" s="4" t="s">
        <v>1101</v>
      </c>
      <c r="K327" s="4" t="s">
        <v>1102</v>
      </c>
      <c r="L327" s="5">
        <v>16121</v>
      </c>
    </row>
    <row r="328" spans="1:12" x14ac:dyDescent="0.25">
      <c r="A328" s="3" t="s">
        <v>1057</v>
      </c>
      <c r="B328" s="4" t="s">
        <v>1058</v>
      </c>
      <c r="C328" s="4" t="s">
        <v>25</v>
      </c>
      <c r="D328" s="4" t="s">
        <v>26</v>
      </c>
      <c r="E328" s="5" t="str">
        <f>"9051557"</f>
        <v>9051557</v>
      </c>
      <c r="F328" s="3" t="s">
        <v>1103</v>
      </c>
      <c r="G328" s="5">
        <v>2105142890</v>
      </c>
      <c r="H328" s="4" t="s">
        <v>1104</v>
      </c>
      <c r="I328" s="4" t="s">
        <v>1070</v>
      </c>
      <c r="J328" s="4" t="s">
        <v>1105</v>
      </c>
      <c r="K328" s="4" t="s">
        <v>1106</v>
      </c>
      <c r="L328" s="5">
        <v>10442</v>
      </c>
    </row>
    <row r="329" spans="1:12" x14ac:dyDescent="0.25">
      <c r="A329" s="3" t="s">
        <v>1057</v>
      </c>
      <c r="B329" s="4" t="s">
        <v>1058</v>
      </c>
      <c r="C329" s="4" t="s">
        <v>25</v>
      </c>
      <c r="D329" s="4" t="s">
        <v>26</v>
      </c>
      <c r="E329" s="5" t="str">
        <f>"9051194"</f>
        <v>9051194</v>
      </c>
      <c r="F329" s="3" t="s">
        <v>1107</v>
      </c>
      <c r="G329" s="5">
        <v>2107660486</v>
      </c>
      <c r="H329" s="4" t="s">
        <v>1108</v>
      </c>
      <c r="I329" s="4" t="s">
        <v>1075</v>
      </c>
      <c r="J329" s="4" t="s">
        <v>1075</v>
      </c>
      <c r="K329" s="4" t="s">
        <v>1109</v>
      </c>
      <c r="L329" s="5">
        <v>16121</v>
      </c>
    </row>
    <row r="330" spans="1:12" x14ac:dyDescent="0.25">
      <c r="A330" s="3" t="s">
        <v>1057</v>
      </c>
      <c r="B330" s="4" t="s">
        <v>1058</v>
      </c>
      <c r="C330" s="4" t="s">
        <v>25</v>
      </c>
      <c r="D330" s="4" t="s">
        <v>26</v>
      </c>
      <c r="E330" s="5" t="str">
        <f>"9051390"</f>
        <v>9051390</v>
      </c>
      <c r="F330" s="3" t="s">
        <v>1110</v>
      </c>
      <c r="G330" s="5">
        <v>2107776694</v>
      </c>
      <c r="H330" s="4" t="s">
        <v>1111</v>
      </c>
      <c r="I330" s="4" t="s">
        <v>1061</v>
      </c>
      <c r="J330" s="4" t="s">
        <v>1061</v>
      </c>
      <c r="K330" s="4" t="s">
        <v>1112</v>
      </c>
      <c r="L330" s="5">
        <v>15771</v>
      </c>
    </row>
    <row r="331" spans="1:12" x14ac:dyDescent="0.25">
      <c r="A331" s="3" t="s">
        <v>1057</v>
      </c>
      <c r="B331" s="4" t="s">
        <v>1058</v>
      </c>
      <c r="C331" s="4" t="s">
        <v>14</v>
      </c>
      <c r="D331" s="4" t="s">
        <v>15</v>
      </c>
      <c r="E331" s="5" t="str">
        <f>"9050523"</f>
        <v>9050523</v>
      </c>
      <c r="F331" s="3" t="s">
        <v>1113</v>
      </c>
      <c r="G331" s="5">
        <v>2108212069</v>
      </c>
      <c r="H331" s="4" t="s">
        <v>1114</v>
      </c>
      <c r="I331" s="4" t="s">
        <v>1070</v>
      </c>
      <c r="J331" s="4" t="s">
        <v>1071</v>
      </c>
      <c r="K331" s="4" t="s">
        <v>1115</v>
      </c>
      <c r="L331" s="5">
        <v>10433</v>
      </c>
    </row>
    <row r="332" spans="1:12" x14ac:dyDescent="0.25">
      <c r="A332" s="3" t="s">
        <v>1057</v>
      </c>
      <c r="B332" s="4" t="s">
        <v>1058</v>
      </c>
      <c r="C332" s="4" t="s">
        <v>25</v>
      </c>
      <c r="D332" s="4" t="s">
        <v>26</v>
      </c>
      <c r="E332" s="5" t="str">
        <f>"9051768"</f>
        <v>9051768</v>
      </c>
      <c r="F332" s="3" t="s">
        <v>1116</v>
      </c>
      <c r="G332" s="5">
        <v>2107644445</v>
      </c>
      <c r="H332" s="4" t="s">
        <v>1117</v>
      </c>
      <c r="I332" s="4" t="s">
        <v>1065</v>
      </c>
      <c r="J332" s="4" t="s">
        <v>1085</v>
      </c>
      <c r="K332" s="4" t="s">
        <v>1118</v>
      </c>
      <c r="L332" s="5">
        <v>16233</v>
      </c>
    </row>
    <row r="333" spans="1:12" x14ac:dyDescent="0.25">
      <c r="A333" s="3" t="s">
        <v>1057</v>
      </c>
      <c r="B333" s="4" t="s">
        <v>1058</v>
      </c>
      <c r="C333" s="4" t="s">
        <v>14</v>
      </c>
      <c r="D333" s="4" t="s">
        <v>15</v>
      </c>
      <c r="E333" s="5" t="str">
        <f>"9050527"</f>
        <v>9050527</v>
      </c>
      <c r="F333" s="3" t="s">
        <v>1119</v>
      </c>
      <c r="G333" s="5">
        <v>2108822088</v>
      </c>
      <c r="H333" s="4" t="s">
        <v>1120</v>
      </c>
      <c r="I333" s="4" t="s">
        <v>1070</v>
      </c>
      <c r="J333" s="4" t="s">
        <v>1071</v>
      </c>
      <c r="K333" s="4" t="s">
        <v>1121</v>
      </c>
      <c r="L333" s="5">
        <v>11473</v>
      </c>
    </row>
    <row r="334" spans="1:12" x14ac:dyDescent="0.25">
      <c r="A334" s="3" t="s">
        <v>1057</v>
      </c>
      <c r="B334" s="4" t="s">
        <v>1058</v>
      </c>
      <c r="C334" s="4" t="s">
        <v>14</v>
      </c>
      <c r="D334" s="4" t="s">
        <v>15</v>
      </c>
      <c r="E334" s="5" t="str">
        <f>"9050125"</f>
        <v>9050125</v>
      </c>
      <c r="F334" s="3" t="s">
        <v>1122</v>
      </c>
      <c r="G334" s="5">
        <v>2107238044</v>
      </c>
      <c r="H334" s="4" t="s">
        <v>1123</v>
      </c>
      <c r="I334" s="4" t="s">
        <v>1075</v>
      </c>
      <c r="J334" s="4" t="s">
        <v>1124</v>
      </c>
      <c r="K334" s="4" t="s">
        <v>1125</v>
      </c>
      <c r="L334" s="5">
        <v>16122</v>
      </c>
    </row>
    <row r="335" spans="1:12" x14ac:dyDescent="0.25">
      <c r="A335" s="3" t="s">
        <v>1057</v>
      </c>
      <c r="B335" s="4" t="s">
        <v>1058</v>
      </c>
      <c r="C335" s="4" t="s">
        <v>14</v>
      </c>
      <c r="D335" s="4" t="s">
        <v>15</v>
      </c>
      <c r="E335" s="5" t="str">
        <f>"9050090"</f>
        <v>9050090</v>
      </c>
      <c r="F335" s="3" t="s">
        <v>1126</v>
      </c>
      <c r="G335" s="5">
        <v>2107770981</v>
      </c>
      <c r="H335" s="4" t="s">
        <v>1127</v>
      </c>
      <c r="I335" s="4" t="s">
        <v>1061</v>
      </c>
      <c r="J335" s="4" t="s">
        <v>1061</v>
      </c>
      <c r="K335" s="4" t="s">
        <v>1128</v>
      </c>
      <c r="L335" s="5">
        <v>15771</v>
      </c>
    </row>
    <row r="336" spans="1:12" x14ac:dyDescent="0.25">
      <c r="A336" s="3" t="s">
        <v>1057</v>
      </c>
      <c r="B336" s="4" t="s">
        <v>1058</v>
      </c>
      <c r="C336" s="4" t="s">
        <v>25</v>
      </c>
      <c r="D336" s="4" t="s">
        <v>26</v>
      </c>
      <c r="E336" s="5" t="str">
        <f>"9051026"</f>
        <v>9051026</v>
      </c>
      <c r="F336" s="3" t="s">
        <v>1129</v>
      </c>
      <c r="G336" s="5">
        <v>2109923460</v>
      </c>
      <c r="H336" s="4" t="s">
        <v>1130</v>
      </c>
      <c r="I336" s="4" t="s">
        <v>1131</v>
      </c>
      <c r="J336" s="4" t="s">
        <v>1132</v>
      </c>
      <c r="K336" s="4" t="s">
        <v>1133</v>
      </c>
      <c r="L336" s="5">
        <v>16342</v>
      </c>
    </row>
    <row r="337" spans="1:12" x14ac:dyDescent="0.25">
      <c r="A337" s="3" t="s">
        <v>1057</v>
      </c>
      <c r="B337" s="4" t="s">
        <v>1058</v>
      </c>
      <c r="C337" s="4" t="s">
        <v>25</v>
      </c>
      <c r="D337" s="4" t="s">
        <v>26</v>
      </c>
      <c r="E337" s="5" t="str">
        <f>"9051204"</f>
        <v>9051204</v>
      </c>
      <c r="F337" s="3" t="s">
        <v>1134</v>
      </c>
      <c r="G337" s="5">
        <v>2109936605</v>
      </c>
      <c r="H337" s="4" t="s">
        <v>1135</v>
      </c>
      <c r="I337" s="4" t="s">
        <v>1131</v>
      </c>
      <c r="J337" s="4" t="s">
        <v>1136</v>
      </c>
      <c r="K337" s="4" t="s">
        <v>1137</v>
      </c>
      <c r="L337" s="5">
        <v>16346</v>
      </c>
    </row>
    <row r="338" spans="1:12" x14ac:dyDescent="0.25">
      <c r="A338" s="3" t="s">
        <v>1057</v>
      </c>
      <c r="B338" s="4" t="s">
        <v>1058</v>
      </c>
      <c r="C338" s="4" t="s">
        <v>25</v>
      </c>
      <c r="D338" s="4" t="s">
        <v>26</v>
      </c>
      <c r="E338" s="5" t="str">
        <f>"9050850"</f>
        <v>9050850</v>
      </c>
      <c r="F338" s="3" t="s">
        <v>1138</v>
      </c>
      <c r="G338" s="5">
        <v>2107705434</v>
      </c>
      <c r="H338" s="4" t="s">
        <v>1139</v>
      </c>
      <c r="I338" s="4" t="s">
        <v>1061</v>
      </c>
      <c r="J338" s="4" t="s">
        <v>1061</v>
      </c>
      <c r="K338" s="4" t="s">
        <v>1140</v>
      </c>
      <c r="L338" s="5">
        <v>15772</v>
      </c>
    </row>
    <row r="339" spans="1:12" x14ac:dyDescent="0.25">
      <c r="A339" s="3" t="s">
        <v>1057</v>
      </c>
      <c r="B339" s="4" t="s">
        <v>1058</v>
      </c>
      <c r="C339" s="4" t="s">
        <v>25</v>
      </c>
      <c r="D339" s="4" t="s">
        <v>26</v>
      </c>
      <c r="E339" s="5" t="str">
        <f>"9051496"</f>
        <v>9051496</v>
      </c>
      <c r="F339" s="3" t="s">
        <v>1141</v>
      </c>
      <c r="G339" s="5">
        <v>2109910358</v>
      </c>
      <c r="H339" s="4" t="s">
        <v>1142</v>
      </c>
      <c r="I339" s="4" t="s">
        <v>1131</v>
      </c>
      <c r="J339" s="4" t="s">
        <v>1136</v>
      </c>
      <c r="K339" s="4" t="s">
        <v>1143</v>
      </c>
      <c r="L339" s="5">
        <v>16345</v>
      </c>
    </row>
    <row r="340" spans="1:12" x14ac:dyDescent="0.25">
      <c r="A340" s="3" t="s">
        <v>1057</v>
      </c>
      <c r="B340" s="4" t="s">
        <v>1058</v>
      </c>
      <c r="C340" s="4" t="s">
        <v>14</v>
      </c>
      <c r="D340" s="4" t="s">
        <v>15</v>
      </c>
      <c r="E340" s="5" t="str">
        <f>"9050450"</f>
        <v>9050450</v>
      </c>
      <c r="F340" s="3" t="s">
        <v>1144</v>
      </c>
      <c r="G340" s="5">
        <v>2105127909</v>
      </c>
      <c r="H340" s="4" t="s">
        <v>1145</v>
      </c>
      <c r="I340" s="4" t="s">
        <v>1070</v>
      </c>
      <c r="J340" s="4" t="s">
        <v>1071</v>
      </c>
      <c r="K340" s="4" t="s">
        <v>1146</v>
      </c>
      <c r="L340" s="5">
        <v>10443</v>
      </c>
    </row>
    <row r="341" spans="1:12" x14ac:dyDescent="0.25">
      <c r="A341" s="3" t="s">
        <v>1057</v>
      </c>
      <c r="B341" s="4" t="s">
        <v>1058</v>
      </c>
      <c r="C341" s="4" t="s">
        <v>25</v>
      </c>
      <c r="D341" s="4" t="s">
        <v>26</v>
      </c>
      <c r="E341" s="5" t="str">
        <f>"9051400"</f>
        <v>9051400</v>
      </c>
      <c r="F341" s="3" t="s">
        <v>1147</v>
      </c>
      <c r="G341" s="5">
        <v>2109923493</v>
      </c>
      <c r="H341" s="4" t="s">
        <v>1148</v>
      </c>
      <c r="I341" s="4" t="s">
        <v>1131</v>
      </c>
      <c r="J341" s="4" t="s">
        <v>1136</v>
      </c>
      <c r="K341" s="4" t="s">
        <v>1149</v>
      </c>
      <c r="L341" s="5">
        <v>16341</v>
      </c>
    </row>
    <row r="342" spans="1:12" x14ac:dyDescent="0.25">
      <c r="A342" s="3" t="s">
        <v>1057</v>
      </c>
      <c r="B342" s="4" t="s">
        <v>1058</v>
      </c>
      <c r="C342" s="4" t="s">
        <v>14</v>
      </c>
      <c r="D342" s="4" t="s">
        <v>15</v>
      </c>
      <c r="E342" s="5" t="str">
        <f>"9050081"</f>
        <v>9050081</v>
      </c>
      <c r="F342" s="3" t="s">
        <v>1150</v>
      </c>
      <c r="G342" s="5">
        <v>2107777638</v>
      </c>
      <c r="H342" s="4" t="s">
        <v>1151</v>
      </c>
      <c r="I342" s="4" t="s">
        <v>1061</v>
      </c>
      <c r="J342" s="4" t="s">
        <v>1061</v>
      </c>
      <c r="K342" s="4" t="s">
        <v>1128</v>
      </c>
      <c r="L342" s="5">
        <v>15771</v>
      </c>
    </row>
    <row r="343" spans="1:12" x14ac:dyDescent="0.25">
      <c r="A343" s="3" t="s">
        <v>1057</v>
      </c>
      <c r="B343" s="4" t="s">
        <v>1058</v>
      </c>
      <c r="C343" s="4" t="s">
        <v>25</v>
      </c>
      <c r="D343" s="4" t="s">
        <v>26</v>
      </c>
      <c r="E343" s="5" t="str">
        <f>"9050170"</f>
        <v>9050170</v>
      </c>
      <c r="F343" s="3" t="s">
        <v>1152</v>
      </c>
      <c r="G343" s="5">
        <v>2107629480</v>
      </c>
      <c r="H343" s="4" t="s">
        <v>1153</v>
      </c>
      <c r="I343" s="4" t="s">
        <v>1154</v>
      </c>
      <c r="J343" s="4" t="s">
        <v>1155</v>
      </c>
      <c r="K343" s="4" t="s">
        <v>1156</v>
      </c>
      <c r="L343" s="5">
        <v>17237</v>
      </c>
    </row>
    <row r="344" spans="1:12" x14ac:dyDescent="0.25">
      <c r="A344" s="3" t="s">
        <v>1057</v>
      </c>
      <c r="B344" s="4" t="s">
        <v>1058</v>
      </c>
      <c r="C344" s="4" t="s">
        <v>25</v>
      </c>
      <c r="D344" s="4" t="s">
        <v>26</v>
      </c>
      <c r="E344" s="5" t="str">
        <f>"9051025"</f>
        <v>9051025</v>
      </c>
      <c r="F344" s="3" t="s">
        <v>1157</v>
      </c>
      <c r="G344" s="5">
        <v>2109707659</v>
      </c>
      <c r="H344" s="4" t="s">
        <v>1158</v>
      </c>
      <c r="I344" s="4" t="s">
        <v>1131</v>
      </c>
      <c r="J344" s="4" t="s">
        <v>1136</v>
      </c>
      <c r="K344" s="4" t="s">
        <v>1159</v>
      </c>
      <c r="L344" s="5">
        <v>16345</v>
      </c>
    </row>
    <row r="345" spans="1:12" x14ac:dyDescent="0.25">
      <c r="A345" s="3" t="s">
        <v>1057</v>
      </c>
      <c r="B345" s="4" t="s">
        <v>1058</v>
      </c>
      <c r="C345" s="4" t="s">
        <v>25</v>
      </c>
      <c r="D345" s="4" t="s">
        <v>26</v>
      </c>
      <c r="E345" s="5" t="str">
        <f>"9051435"</f>
        <v>9051435</v>
      </c>
      <c r="F345" s="3" t="s">
        <v>1160</v>
      </c>
      <c r="G345" s="5">
        <v>2107470166</v>
      </c>
      <c r="H345" s="4" t="s">
        <v>1161</v>
      </c>
      <c r="I345" s="4" t="s">
        <v>1070</v>
      </c>
      <c r="J345" s="4" t="s">
        <v>1105</v>
      </c>
      <c r="K345" s="4" t="s">
        <v>1162</v>
      </c>
      <c r="L345" s="5">
        <v>11527</v>
      </c>
    </row>
    <row r="346" spans="1:12" x14ac:dyDescent="0.25">
      <c r="A346" s="3" t="s">
        <v>1057</v>
      </c>
      <c r="B346" s="4" t="s">
        <v>1058</v>
      </c>
      <c r="C346" s="4" t="s">
        <v>14</v>
      </c>
      <c r="D346" s="4" t="s">
        <v>15</v>
      </c>
      <c r="E346" s="5" t="str">
        <f>"9050083"</f>
        <v>9050083</v>
      </c>
      <c r="F346" s="3" t="s">
        <v>1163</v>
      </c>
      <c r="G346" s="5">
        <v>2107773745</v>
      </c>
      <c r="H346" s="4" t="s">
        <v>1164</v>
      </c>
      <c r="I346" s="4" t="s">
        <v>1061</v>
      </c>
      <c r="J346" s="4" t="s">
        <v>1061</v>
      </c>
      <c r="K346" s="4" t="s">
        <v>1165</v>
      </c>
      <c r="L346" s="5">
        <v>15773</v>
      </c>
    </row>
    <row r="347" spans="1:12" x14ac:dyDescent="0.25">
      <c r="A347" s="3" t="s">
        <v>1057</v>
      </c>
      <c r="B347" s="4" t="s">
        <v>1058</v>
      </c>
      <c r="C347" s="4" t="s">
        <v>25</v>
      </c>
      <c r="D347" s="4" t="s">
        <v>26</v>
      </c>
      <c r="E347" s="5" t="str">
        <f>"9051017"</f>
        <v>9051017</v>
      </c>
      <c r="F347" s="3" t="s">
        <v>1166</v>
      </c>
      <c r="G347" s="5">
        <v>2107663393</v>
      </c>
      <c r="H347" s="4" t="s">
        <v>1167</v>
      </c>
      <c r="I347" s="4" t="s">
        <v>1065</v>
      </c>
      <c r="J347" s="4" t="s">
        <v>1085</v>
      </c>
      <c r="K347" s="4" t="s">
        <v>1168</v>
      </c>
      <c r="L347" s="5">
        <v>16232</v>
      </c>
    </row>
    <row r="348" spans="1:12" x14ac:dyDescent="0.25">
      <c r="A348" s="3" t="s">
        <v>1057</v>
      </c>
      <c r="B348" s="4" t="s">
        <v>1058</v>
      </c>
      <c r="C348" s="4" t="s">
        <v>25</v>
      </c>
      <c r="D348" s="4" t="s">
        <v>26</v>
      </c>
      <c r="E348" s="5" t="str">
        <f>"9051727"</f>
        <v>9051727</v>
      </c>
      <c r="F348" s="3" t="s">
        <v>1169</v>
      </c>
      <c r="G348" s="5">
        <v>2107627055</v>
      </c>
      <c r="H348" s="4" t="s">
        <v>1170</v>
      </c>
      <c r="I348" s="4" t="s">
        <v>1065</v>
      </c>
      <c r="J348" s="4" t="s">
        <v>1085</v>
      </c>
      <c r="K348" s="4" t="s">
        <v>1171</v>
      </c>
      <c r="L348" s="5">
        <v>16232</v>
      </c>
    </row>
    <row r="349" spans="1:12" x14ac:dyDescent="0.25">
      <c r="A349" s="3" t="s">
        <v>1057</v>
      </c>
      <c r="B349" s="4" t="s">
        <v>1058</v>
      </c>
      <c r="C349" s="4" t="s">
        <v>25</v>
      </c>
      <c r="D349" s="4" t="s">
        <v>26</v>
      </c>
      <c r="E349" s="5" t="str">
        <f>"9050736"</f>
        <v>9050736</v>
      </c>
      <c r="F349" s="3" t="s">
        <v>1172</v>
      </c>
      <c r="G349" s="5">
        <v>2109925795</v>
      </c>
      <c r="H349" s="4" t="s">
        <v>1173</v>
      </c>
      <c r="I349" s="4" t="s">
        <v>1131</v>
      </c>
      <c r="J349" s="4" t="s">
        <v>1136</v>
      </c>
      <c r="K349" s="4" t="s">
        <v>1174</v>
      </c>
      <c r="L349" s="5">
        <v>16341</v>
      </c>
    </row>
    <row r="350" spans="1:12" x14ac:dyDescent="0.25">
      <c r="A350" s="3" t="s">
        <v>1057</v>
      </c>
      <c r="B350" s="4" t="s">
        <v>1058</v>
      </c>
      <c r="C350" s="4" t="s">
        <v>14</v>
      </c>
      <c r="D350" s="4" t="s">
        <v>15</v>
      </c>
      <c r="E350" s="5" t="str">
        <f>"9051102"</f>
        <v>9051102</v>
      </c>
      <c r="F350" s="3" t="s">
        <v>1175</v>
      </c>
      <c r="G350" s="5">
        <v>2103473560</v>
      </c>
      <c r="H350" s="4" t="s">
        <v>1176</v>
      </c>
      <c r="I350" s="4" t="s">
        <v>1070</v>
      </c>
      <c r="J350" s="4" t="s">
        <v>1071</v>
      </c>
      <c r="K350" s="4" t="s">
        <v>1177</v>
      </c>
      <c r="L350" s="5">
        <v>11853</v>
      </c>
    </row>
    <row r="351" spans="1:12" x14ac:dyDescent="0.25">
      <c r="A351" s="3" t="s">
        <v>1057</v>
      </c>
      <c r="B351" s="4" t="s">
        <v>1058</v>
      </c>
      <c r="C351" s="4" t="s">
        <v>14</v>
      </c>
      <c r="D351" s="4" t="s">
        <v>15</v>
      </c>
      <c r="E351" s="5" t="str">
        <f>"9051543"</f>
        <v>9051543</v>
      </c>
      <c r="F351" s="3" t="s">
        <v>1178</v>
      </c>
      <c r="G351" s="5">
        <v>2103462300</v>
      </c>
      <c r="H351" s="4" t="s">
        <v>1179</v>
      </c>
      <c r="I351" s="4" t="s">
        <v>1070</v>
      </c>
      <c r="J351" s="4" t="s">
        <v>1180</v>
      </c>
      <c r="K351" s="4" t="s">
        <v>1181</v>
      </c>
      <c r="L351" s="5">
        <v>11853</v>
      </c>
    </row>
    <row r="352" spans="1:12" x14ac:dyDescent="0.25">
      <c r="A352" s="3" t="s">
        <v>1057</v>
      </c>
      <c r="B352" s="4" t="s">
        <v>1058</v>
      </c>
      <c r="C352" s="4" t="s">
        <v>14</v>
      </c>
      <c r="D352" s="4" t="s">
        <v>15</v>
      </c>
      <c r="E352" s="5" t="str">
        <f>"9050322"</f>
        <v>9050322</v>
      </c>
      <c r="F352" s="3" t="s">
        <v>1182</v>
      </c>
      <c r="G352" s="5">
        <v>2105140669</v>
      </c>
      <c r="H352" s="4" t="s">
        <v>1183</v>
      </c>
      <c r="I352" s="4" t="s">
        <v>1070</v>
      </c>
      <c r="J352" s="4" t="s">
        <v>1094</v>
      </c>
      <c r="K352" s="4" t="s">
        <v>1184</v>
      </c>
      <c r="L352" s="5">
        <v>10441</v>
      </c>
    </row>
    <row r="353" spans="1:12" x14ac:dyDescent="0.25">
      <c r="A353" s="3" t="s">
        <v>1057</v>
      </c>
      <c r="B353" s="4" t="s">
        <v>1058</v>
      </c>
      <c r="C353" s="4" t="s">
        <v>25</v>
      </c>
      <c r="D353" s="4" t="s">
        <v>26</v>
      </c>
      <c r="E353" s="5" t="str">
        <f>"9051553"</f>
        <v>9051553</v>
      </c>
      <c r="F353" s="3" t="s">
        <v>1185</v>
      </c>
      <c r="G353" s="5">
        <v>2107625435</v>
      </c>
      <c r="H353" s="4" t="s">
        <v>1186</v>
      </c>
      <c r="I353" s="4" t="s">
        <v>1154</v>
      </c>
      <c r="J353" s="4" t="s">
        <v>1155</v>
      </c>
      <c r="K353" s="4" t="s">
        <v>1187</v>
      </c>
      <c r="L353" s="5">
        <v>17237</v>
      </c>
    </row>
    <row r="354" spans="1:12" x14ac:dyDescent="0.25">
      <c r="A354" s="3" t="s">
        <v>1057</v>
      </c>
      <c r="B354" s="4" t="s">
        <v>1058</v>
      </c>
      <c r="C354" s="4" t="s">
        <v>25</v>
      </c>
      <c r="D354" s="4" t="s">
        <v>26</v>
      </c>
      <c r="E354" s="5" t="str">
        <f>"9051550"</f>
        <v>9051550</v>
      </c>
      <c r="F354" s="3" t="s">
        <v>1188</v>
      </c>
      <c r="G354" s="5">
        <v>2107626596</v>
      </c>
      <c r="H354" s="4" t="s">
        <v>1189</v>
      </c>
      <c r="I354" s="4" t="s">
        <v>1065</v>
      </c>
      <c r="J354" s="4" t="s">
        <v>1085</v>
      </c>
      <c r="K354" s="4" t="s">
        <v>1190</v>
      </c>
      <c r="L354" s="5">
        <v>16232</v>
      </c>
    </row>
    <row r="355" spans="1:12" x14ac:dyDescent="0.25">
      <c r="A355" s="3" t="s">
        <v>1057</v>
      </c>
      <c r="B355" s="4" t="s">
        <v>1058</v>
      </c>
      <c r="C355" s="4" t="s">
        <v>14</v>
      </c>
      <c r="D355" s="4" t="s">
        <v>15</v>
      </c>
      <c r="E355" s="5" t="str">
        <f>"9050131"</f>
        <v>9050131</v>
      </c>
      <c r="F355" s="3" t="s">
        <v>1191</v>
      </c>
      <c r="G355" s="5">
        <v>2107662750</v>
      </c>
      <c r="H355" s="4" t="s">
        <v>1192</v>
      </c>
      <c r="I355" s="4" t="s">
        <v>1075</v>
      </c>
      <c r="J355" s="4" t="s">
        <v>1101</v>
      </c>
      <c r="K355" s="4" t="s">
        <v>1193</v>
      </c>
      <c r="L355" s="5">
        <v>16121</v>
      </c>
    </row>
    <row r="356" spans="1:12" x14ac:dyDescent="0.25">
      <c r="A356" s="3" t="s">
        <v>1057</v>
      </c>
      <c r="B356" s="4" t="s">
        <v>1058</v>
      </c>
      <c r="C356" s="4" t="s">
        <v>14</v>
      </c>
      <c r="D356" s="4" t="s">
        <v>15</v>
      </c>
      <c r="E356" s="5" t="str">
        <f>"9050304"</f>
        <v>9050304</v>
      </c>
      <c r="F356" s="3" t="s">
        <v>1194</v>
      </c>
      <c r="G356" s="5">
        <v>2105122679</v>
      </c>
      <c r="H356" s="4" t="s">
        <v>1195</v>
      </c>
      <c r="I356" s="4" t="s">
        <v>1070</v>
      </c>
      <c r="J356" s="4" t="s">
        <v>1071</v>
      </c>
      <c r="K356" s="4" t="s">
        <v>1196</v>
      </c>
      <c r="L356" s="5">
        <v>10444</v>
      </c>
    </row>
    <row r="357" spans="1:12" x14ac:dyDescent="0.25">
      <c r="A357" s="3" t="s">
        <v>1057</v>
      </c>
      <c r="B357" s="4" t="s">
        <v>1058</v>
      </c>
      <c r="C357" s="4" t="s">
        <v>14</v>
      </c>
      <c r="D357" s="4" t="s">
        <v>15</v>
      </c>
      <c r="E357" s="5" t="str">
        <f>"9050303"</f>
        <v>9050303</v>
      </c>
      <c r="F357" s="3" t="s">
        <v>1197</v>
      </c>
      <c r="G357" s="5">
        <v>2105129540</v>
      </c>
      <c r="H357" s="4" t="s">
        <v>1198</v>
      </c>
      <c r="I357" s="4" t="s">
        <v>1070</v>
      </c>
      <c r="J357" s="4" t="s">
        <v>1071</v>
      </c>
      <c r="K357" s="4" t="s">
        <v>1199</v>
      </c>
      <c r="L357" s="5">
        <v>10442</v>
      </c>
    </row>
    <row r="358" spans="1:12" x14ac:dyDescent="0.25">
      <c r="A358" s="3" t="s">
        <v>1057</v>
      </c>
      <c r="B358" s="4" t="s">
        <v>1058</v>
      </c>
      <c r="C358" s="4" t="s">
        <v>14</v>
      </c>
      <c r="D358" s="4" t="s">
        <v>15</v>
      </c>
      <c r="E358" s="5" t="str">
        <f>"9050130"</f>
        <v>9050130</v>
      </c>
      <c r="F358" s="3" t="s">
        <v>1200</v>
      </c>
      <c r="G358" s="5">
        <v>2107214538</v>
      </c>
      <c r="H358" s="4" t="s">
        <v>1201</v>
      </c>
      <c r="I358" s="4" t="s">
        <v>1075</v>
      </c>
      <c r="J358" s="4" t="s">
        <v>1202</v>
      </c>
      <c r="K358" s="4" t="s">
        <v>1203</v>
      </c>
      <c r="L358" s="5">
        <v>16121</v>
      </c>
    </row>
    <row r="359" spans="1:12" x14ac:dyDescent="0.25">
      <c r="A359" s="3" t="s">
        <v>1057</v>
      </c>
      <c r="B359" s="4" t="s">
        <v>1058</v>
      </c>
      <c r="C359" s="4" t="s">
        <v>14</v>
      </c>
      <c r="D359" s="4" t="s">
        <v>15</v>
      </c>
      <c r="E359" s="5" t="str">
        <f>"9050301"</f>
        <v>9050301</v>
      </c>
      <c r="F359" s="3" t="s">
        <v>1204</v>
      </c>
      <c r="G359" s="5">
        <v>2105122678</v>
      </c>
      <c r="H359" s="4" t="s">
        <v>1205</v>
      </c>
      <c r="I359" s="4" t="s">
        <v>1070</v>
      </c>
      <c r="J359" s="4" t="s">
        <v>1071</v>
      </c>
      <c r="K359" s="4" t="s">
        <v>1196</v>
      </c>
      <c r="L359" s="5">
        <v>10444</v>
      </c>
    </row>
    <row r="360" spans="1:12" x14ac:dyDescent="0.25">
      <c r="A360" s="3" t="s">
        <v>1057</v>
      </c>
      <c r="B360" s="4" t="s">
        <v>1058</v>
      </c>
      <c r="C360" s="4" t="s">
        <v>14</v>
      </c>
      <c r="D360" s="4" t="s">
        <v>15</v>
      </c>
      <c r="E360" s="5" t="str">
        <f>"9050314"</f>
        <v>9050314</v>
      </c>
      <c r="F360" s="3" t="s">
        <v>1206</v>
      </c>
      <c r="G360" s="5">
        <v>2103463826</v>
      </c>
      <c r="H360" s="4" t="s">
        <v>1207</v>
      </c>
      <c r="I360" s="4" t="s">
        <v>1070</v>
      </c>
      <c r="J360" s="4" t="s">
        <v>1071</v>
      </c>
      <c r="K360" s="4" t="s">
        <v>1208</v>
      </c>
      <c r="L360" s="5">
        <v>11851</v>
      </c>
    </row>
    <row r="361" spans="1:12" ht="30" x14ac:dyDescent="0.25">
      <c r="A361" s="3" t="s">
        <v>1057</v>
      </c>
      <c r="B361" s="4" t="s">
        <v>1058</v>
      </c>
      <c r="C361" s="4" t="s">
        <v>14</v>
      </c>
      <c r="D361" s="4" t="s">
        <v>15</v>
      </c>
      <c r="E361" s="5" t="str">
        <f>"9051546"</f>
        <v>9051546</v>
      </c>
      <c r="F361" s="3" t="s">
        <v>1209</v>
      </c>
      <c r="G361" s="5">
        <v>2109942199</v>
      </c>
      <c r="H361" s="4" t="s">
        <v>1210</v>
      </c>
      <c r="I361" s="4" t="s">
        <v>1131</v>
      </c>
      <c r="J361" s="4" t="s">
        <v>1211</v>
      </c>
      <c r="K361" s="4" t="s">
        <v>1212</v>
      </c>
      <c r="L361" s="5">
        <v>16343</v>
      </c>
    </row>
    <row r="362" spans="1:12" x14ac:dyDescent="0.25">
      <c r="A362" s="3" t="s">
        <v>1057</v>
      </c>
      <c r="B362" s="4" t="s">
        <v>1058</v>
      </c>
      <c r="C362" s="4" t="s">
        <v>14</v>
      </c>
      <c r="D362" s="4" t="s">
        <v>15</v>
      </c>
      <c r="E362" s="5" t="str">
        <f>"9050533"</f>
        <v>9050533</v>
      </c>
      <c r="F362" s="3" t="s">
        <v>1213</v>
      </c>
      <c r="G362" s="5">
        <v>2102286090</v>
      </c>
      <c r="H362" s="4" t="s">
        <v>1214</v>
      </c>
      <c r="I362" s="4" t="s">
        <v>1070</v>
      </c>
      <c r="J362" s="4" t="s">
        <v>1215</v>
      </c>
      <c r="K362" s="4" t="s">
        <v>1216</v>
      </c>
      <c r="L362" s="5">
        <v>11255</v>
      </c>
    </row>
    <row r="363" spans="1:12" x14ac:dyDescent="0.25">
      <c r="A363" s="3" t="s">
        <v>1057</v>
      </c>
      <c r="B363" s="4" t="s">
        <v>1058</v>
      </c>
      <c r="C363" s="4" t="s">
        <v>25</v>
      </c>
      <c r="D363" s="4" t="s">
        <v>26</v>
      </c>
      <c r="E363" s="5" t="str">
        <f>"9051854"</f>
        <v>9051854</v>
      </c>
      <c r="F363" s="3" t="s">
        <v>1217</v>
      </c>
      <c r="G363" s="5">
        <v>2106431687</v>
      </c>
      <c r="H363" s="4" t="s">
        <v>1218</v>
      </c>
      <c r="I363" s="4" t="s">
        <v>1070</v>
      </c>
      <c r="J363" s="4" t="s">
        <v>1105</v>
      </c>
      <c r="K363" s="4" t="s">
        <v>1219</v>
      </c>
      <c r="L363" s="5">
        <v>11522</v>
      </c>
    </row>
    <row r="364" spans="1:12" x14ac:dyDescent="0.25">
      <c r="A364" s="3" t="s">
        <v>1057</v>
      </c>
      <c r="B364" s="4" t="s">
        <v>1058</v>
      </c>
      <c r="C364" s="4" t="s">
        <v>25</v>
      </c>
      <c r="D364" s="4" t="s">
        <v>26</v>
      </c>
      <c r="E364" s="5" t="str">
        <f>"9051495"</f>
        <v>9051495</v>
      </c>
      <c r="F364" s="3" t="s">
        <v>1220</v>
      </c>
      <c r="G364" s="5">
        <v>2109912346</v>
      </c>
      <c r="H364" s="4" t="s">
        <v>1221</v>
      </c>
      <c r="I364" s="4" t="s">
        <v>1131</v>
      </c>
      <c r="J364" s="4" t="s">
        <v>1132</v>
      </c>
      <c r="K364" s="4" t="s">
        <v>1222</v>
      </c>
      <c r="L364" s="5">
        <v>16341</v>
      </c>
    </row>
    <row r="365" spans="1:12" x14ac:dyDescent="0.25">
      <c r="A365" s="3" t="s">
        <v>1057</v>
      </c>
      <c r="B365" s="4" t="s">
        <v>1058</v>
      </c>
      <c r="C365" s="4" t="s">
        <v>14</v>
      </c>
      <c r="D365" s="4" t="s">
        <v>15</v>
      </c>
      <c r="E365" s="5" t="str">
        <f>"9050835"</f>
        <v>9050835</v>
      </c>
      <c r="F365" s="3" t="s">
        <v>1223</v>
      </c>
      <c r="G365" s="5">
        <v>2109703143</v>
      </c>
      <c r="H365" s="4" t="s">
        <v>1224</v>
      </c>
      <c r="I365" s="4" t="s">
        <v>1131</v>
      </c>
      <c r="J365" s="4" t="s">
        <v>1132</v>
      </c>
      <c r="K365" s="4" t="s">
        <v>1225</v>
      </c>
      <c r="L365" s="5">
        <v>16343</v>
      </c>
    </row>
    <row r="366" spans="1:12" x14ac:dyDescent="0.25">
      <c r="A366" s="3" t="s">
        <v>1057</v>
      </c>
      <c r="B366" s="4" t="s">
        <v>1058</v>
      </c>
      <c r="C366" s="4" t="s">
        <v>14</v>
      </c>
      <c r="D366" s="4" t="s">
        <v>15</v>
      </c>
      <c r="E366" s="5" t="str">
        <f>"9050525"</f>
        <v>9050525</v>
      </c>
      <c r="F366" s="3" t="s">
        <v>1226</v>
      </c>
      <c r="G366" s="5">
        <v>2102530856</v>
      </c>
      <c r="H366" s="4" t="s">
        <v>1227</v>
      </c>
      <c r="I366" s="4" t="s">
        <v>1070</v>
      </c>
      <c r="J366" s="4" t="s">
        <v>1215</v>
      </c>
      <c r="K366" s="4" t="s">
        <v>1228</v>
      </c>
      <c r="L366" s="5">
        <v>11142</v>
      </c>
    </row>
    <row r="367" spans="1:12" x14ac:dyDescent="0.25">
      <c r="A367" s="3" t="s">
        <v>1057</v>
      </c>
      <c r="B367" s="4" t="s">
        <v>1058</v>
      </c>
      <c r="C367" s="4" t="s">
        <v>14</v>
      </c>
      <c r="D367" s="4" t="s">
        <v>15</v>
      </c>
      <c r="E367" s="5" t="str">
        <f>"9050325"</f>
        <v>9050325</v>
      </c>
      <c r="F367" s="3" t="s">
        <v>1229</v>
      </c>
      <c r="G367" s="5">
        <v>2103463965</v>
      </c>
      <c r="H367" s="4" t="s">
        <v>1230</v>
      </c>
      <c r="I367" s="4" t="s">
        <v>1070</v>
      </c>
      <c r="J367" s="4" t="s">
        <v>1105</v>
      </c>
      <c r="K367" s="4" t="s">
        <v>1231</v>
      </c>
      <c r="L367" s="5">
        <v>11855</v>
      </c>
    </row>
    <row r="368" spans="1:12" x14ac:dyDescent="0.25">
      <c r="A368" s="3" t="s">
        <v>1057</v>
      </c>
      <c r="B368" s="4" t="s">
        <v>1058</v>
      </c>
      <c r="C368" s="4" t="s">
        <v>14</v>
      </c>
      <c r="D368" s="4" t="s">
        <v>15</v>
      </c>
      <c r="E368" s="5" t="str">
        <f>"9050093"</f>
        <v>9050093</v>
      </c>
      <c r="F368" s="3" t="s">
        <v>1232</v>
      </c>
      <c r="G368" s="5">
        <v>2109220534</v>
      </c>
      <c r="H368" s="4" t="s">
        <v>1233</v>
      </c>
      <c r="I368" s="4" t="s">
        <v>1070</v>
      </c>
      <c r="J368" s="4" t="s">
        <v>1071</v>
      </c>
      <c r="K368" s="4" t="s">
        <v>1234</v>
      </c>
      <c r="L368" s="5">
        <v>11742</v>
      </c>
    </row>
    <row r="369" spans="1:12" x14ac:dyDescent="0.25">
      <c r="A369" s="3" t="s">
        <v>1057</v>
      </c>
      <c r="B369" s="4" t="s">
        <v>1058</v>
      </c>
      <c r="C369" s="4" t="s">
        <v>14</v>
      </c>
      <c r="D369" s="4" t="s">
        <v>15</v>
      </c>
      <c r="E369" s="5" t="str">
        <f>"9050161"</f>
        <v>9050161</v>
      </c>
      <c r="F369" s="3" t="s">
        <v>1235</v>
      </c>
      <c r="G369" s="5">
        <v>2109717340</v>
      </c>
      <c r="H369" s="4" t="s">
        <v>1236</v>
      </c>
      <c r="I369" s="4" t="s">
        <v>1131</v>
      </c>
      <c r="J369" s="4" t="s">
        <v>1132</v>
      </c>
      <c r="K369" s="4" t="s">
        <v>1237</v>
      </c>
      <c r="L369" s="5">
        <v>16344</v>
      </c>
    </row>
    <row r="370" spans="1:12" x14ac:dyDescent="0.25">
      <c r="A370" s="3" t="s">
        <v>1057</v>
      </c>
      <c r="B370" s="4" t="s">
        <v>1058</v>
      </c>
      <c r="C370" s="4" t="s">
        <v>14</v>
      </c>
      <c r="D370" s="4" t="s">
        <v>15</v>
      </c>
      <c r="E370" s="5" t="str">
        <f>"9050164"</f>
        <v>9050164</v>
      </c>
      <c r="F370" s="3" t="s">
        <v>1238</v>
      </c>
      <c r="G370" s="5">
        <v>2109710740</v>
      </c>
      <c r="H370" s="4" t="s">
        <v>1239</v>
      </c>
      <c r="I370" s="4" t="s">
        <v>1131</v>
      </c>
      <c r="J370" s="4" t="s">
        <v>1132</v>
      </c>
      <c r="K370" s="4" t="s">
        <v>1240</v>
      </c>
      <c r="L370" s="5">
        <v>16346</v>
      </c>
    </row>
    <row r="371" spans="1:12" x14ac:dyDescent="0.25">
      <c r="A371" s="3" t="s">
        <v>1057</v>
      </c>
      <c r="B371" s="4" t="s">
        <v>1058</v>
      </c>
      <c r="C371" s="4" t="s">
        <v>14</v>
      </c>
      <c r="D371" s="4" t="s">
        <v>15</v>
      </c>
      <c r="E371" s="5" t="str">
        <f>"9050454"</f>
        <v>9050454</v>
      </c>
      <c r="F371" s="3" t="s">
        <v>1241</v>
      </c>
      <c r="G371" s="5">
        <v>2102286438</v>
      </c>
      <c r="H371" s="4" t="s">
        <v>1242</v>
      </c>
      <c r="I371" s="4" t="s">
        <v>1070</v>
      </c>
      <c r="J371" s="4" t="s">
        <v>1071</v>
      </c>
      <c r="K371" s="4" t="s">
        <v>1243</v>
      </c>
      <c r="L371" s="5">
        <v>11144</v>
      </c>
    </row>
    <row r="372" spans="1:12" x14ac:dyDescent="0.25">
      <c r="A372" s="3" t="s">
        <v>1057</v>
      </c>
      <c r="B372" s="4" t="s">
        <v>1058</v>
      </c>
      <c r="C372" s="4" t="s">
        <v>14</v>
      </c>
      <c r="D372" s="4" t="s">
        <v>15</v>
      </c>
      <c r="E372" s="5" t="str">
        <f>"9050026"</f>
        <v>9050026</v>
      </c>
      <c r="F372" s="3" t="s">
        <v>1244</v>
      </c>
      <c r="G372" s="5">
        <v>2106924505</v>
      </c>
      <c r="H372" s="4" t="s">
        <v>1245</v>
      </c>
      <c r="I372" s="4" t="s">
        <v>1070</v>
      </c>
      <c r="J372" s="4" t="s">
        <v>1071</v>
      </c>
      <c r="K372" s="4" t="s">
        <v>1246</v>
      </c>
      <c r="L372" s="5">
        <v>11526</v>
      </c>
    </row>
    <row r="373" spans="1:12" x14ac:dyDescent="0.25">
      <c r="A373" s="3" t="s">
        <v>1057</v>
      </c>
      <c r="B373" s="4" t="s">
        <v>1058</v>
      </c>
      <c r="C373" s="4" t="s">
        <v>25</v>
      </c>
      <c r="D373" s="4" t="s">
        <v>26</v>
      </c>
      <c r="E373" s="5" t="str">
        <f>"9051397"</f>
        <v>9051397</v>
      </c>
      <c r="F373" s="3" t="s">
        <v>1247</v>
      </c>
      <c r="G373" s="5">
        <v>2102921577</v>
      </c>
      <c r="H373" s="4" t="s">
        <v>1248</v>
      </c>
      <c r="I373" s="4" t="s">
        <v>1070</v>
      </c>
      <c r="J373" s="4" t="s">
        <v>1105</v>
      </c>
      <c r="K373" s="4" t="s">
        <v>1249</v>
      </c>
      <c r="L373" s="5">
        <v>11142</v>
      </c>
    </row>
    <row r="374" spans="1:12" x14ac:dyDescent="0.25">
      <c r="A374" s="3" t="s">
        <v>1057</v>
      </c>
      <c r="B374" s="4" t="s">
        <v>1058</v>
      </c>
      <c r="C374" s="4" t="s">
        <v>25</v>
      </c>
      <c r="D374" s="4" t="s">
        <v>26</v>
      </c>
      <c r="E374" s="5" t="str">
        <f>"9051396"</f>
        <v>9051396</v>
      </c>
      <c r="F374" s="3" t="s">
        <v>1250</v>
      </c>
      <c r="G374" s="5">
        <v>2102921170</v>
      </c>
      <c r="H374" s="4" t="s">
        <v>1251</v>
      </c>
      <c r="I374" s="4" t="s">
        <v>1070</v>
      </c>
      <c r="J374" s="4" t="s">
        <v>1105</v>
      </c>
      <c r="K374" s="4" t="s">
        <v>1252</v>
      </c>
      <c r="L374" s="5">
        <v>11142</v>
      </c>
    </row>
    <row r="375" spans="1:12" x14ac:dyDescent="0.25">
      <c r="A375" s="3" t="s">
        <v>1057</v>
      </c>
      <c r="B375" s="4" t="s">
        <v>1058</v>
      </c>
      <c r="C375" s="4" t="s">
        <v>25</v>
      </c>
      <c r="D375" s="4" t="s">
        <v>26</v>
      </c>
      <c r="E375" s="5" t="str">
        <f>"9050702"</f>
        <v>9050702</v>
      </c>
      <c r="F375" s="3" t="s">
        <v>1253</v>
      </c>
      <c r="G375" s="5">
        <v>2106990248</v>
      </c>
      <c r="H375" s="4" t="s">
        <v>1254</v>
      </c>
      <c r="I375" s="4" t="s">
        <v>1070</v>
      </c>
      <c r="J375" s="4" t="s">
        <v>1105</v>
      </c>
      <c r="K375" s="4" t="s">
        <v>1246</v>
      </c>
      <c r="L375" s="5">
        <v>11526</v>
      </c>
    </row>
    <row r="376" spans="1:12" x14ac:dyDescent="0.25">
      <c r="A376" s="3" t="s">
        <v>1057</v>
      </c>
      <c r="B376" s="4" t="s">
        <v>1058</v>
      </c>
      <c r="C376" s="4" t="s">
        <v>14</v>
      </c>
      <c r="D376" s="4" t="s">
        <v>15</v>
      </c>
      <c r="E376" s="5" t="str">
        <f>"9050951"</f>
        <v>9050951</v>
      </c>
      <c r="F376" s="3" t="s">
        <v>1255</v>
      </c>
      <c r="G376" s="5">
        <v>2102529164</v>
      </c>
      <c r="H376" s="4" t="s">
        <v>1256</v>
      </c>
      <c r="I376" s="4" t="s">
        <v>1257</v>
      </c>
      <c r="J376" s="4" t="s">
        <v>1258</v>
      </c>
      <c r="K376" s="4" t="s">
        <v>1259</v>
      </c>
      <c r="L376" s="5">
        <v>14343</v>
      </c>
    </row>
    <row r="377" spans="1:12" x14ac:dyDescent="0.25">
      <c r="A377" s="3" t="s">
        <v>1057</v>
      </c>
      <c r="B377" s="4" t="s">
        <v>1058</v>
      </c>
      <c r="C377" s="4" t="s">
        <v>14</v>
      </c>
      <c r="D377" s="4" t="s">
        <v>15</v>
      </c>
      <c r="E377" s="5" t="str">
        <f>"9050826"</f>
        <v>9050826</v>
      </c>
      <c r="F377" s="3" t="s">
        <v>1260</v>
      </c>
      <c r="G377" s="5">
        <v>2102022290</v>
      </c>
      <c r="H377" s="4" t="s">
        <v>1261</v>
      </c>
      <c r="I377" s="4" t="s">
        <v>1070</v>
      </c>
      <c r="J377" s="4" t="s">
        <v>1071</v>
      </c>
      <c r="K377" s="4" t="s">
        <v>1262</v>
      </c>
      <c r="L377" s="5">
        <v>11254</v>
      </c>
    </row>
    <row r="378" spans="1:12" x14ac:dyDescent="0.25">
      <c r="A378" s="3" t="s">
        <v>1057</v>
      </c>
      <c r="B378" s="4" t="s">
        <v>1058</v>
      </c>
      <c r="C378" s="4" t="s">
        <v>14</v>
      </c>
      <c r="D378" s="4" t="s">
        <v>15</v>
      </c>
      <c r="E378" s="5" t="str">
        <f>"9050160"</f>
        <v>9050160</v>
      </c>
      <c r="F378" s="3" t="s">
        <v>1263</v>
      </c>
      <c r="G378" s="5">
        <v>2109919523</v>
      </c>
      <c r="H378" s="4" t="s">
        <v>1264</v>
      </c>
      <c r="I378" s="4" t="s">
        <v>1131</v>
      </c>
      <c r="J378" s="4" t="s">
        <v>1132</v>
      </c>
      <c r="K378" s="4" t="s">
        <v>1265</v>
      </c>
      <c r="L378" s="5">
        <v>16346</v>
      </c>
    </row>
    <row r="379" spans="1:12" x14ac:dyDescent="0.25">
      <c r="A379" s="3" t="s">
        <v>1057</v>
      </c>
      <c r="B379" s="4" t="s">
        <v>1058</v>
      </c>
      <c r="C379" s="4" t="s">
        <v>25</v>
      </c>
      <c r="D379" s="4" t="s">
        <v>26</v>
      </c>
      <c r="E379" s="5" t="str">
        <f>"9051001"</f>
        <v>9051001</v>
      </c>
      <c r="F379" s="3" t="s">
        <v>1266</v>
      </c>
      <c r="G379" s="5">
        <v>2109734761</v>
      </c>
      <c r="H379" s="4" t="s">
        <v>1267</v>
      </c>
      <c r="I379" s="4" t="s">
        <v>1131</v>
      </c>
      <c r="J379" s="4" t="s">
        <v>1136</v>
      </c>
      <c r="K379" s="4" t="s">
        <v>1268</v>
      </c>
      <c r="L379" s="5">
        <v>16344</v>
      </c>
    </row>
    <row r="380" spans="1:12" x14ac:dyDescent="0.25">
      <c r="A380" s="3" t="s">
        <v>1057</v>
      </c>
      <c r="B380" s="4" t="s">
        <v>1058</v>
      </c>
      <c r="C380" s="4" t="s">
        <v>14</v>
      </c>
      <c r="D380" s="4" t="s">
        <v>15</v>
      </c>
      <c r="E380" s="5" t="str">
        <f>"9050126"</f>
        <v>9050126</v>
      </c>
      <c r="F380" s="3" t="s">
        <v>1269</v>
      </c>
      <c r="G380" s="5">
        <v>2107662883</v>
      </c>
      <c r="H380" s="4" t="s">
        <v>1270</v>
      </c>
      <c r="I380" s="4" t="s">
        <v>1065</v>
      </c>
      <c r="J380" s="4" t="s">
        <v>1066</v>
      </c>
      <c r="K380" s="4" t="s">
        <v>1271</v>
      </c>
      <c r="L380" s="5">
        <v>16231</v>
      </c>
    </row>
    <row r="381" spans="1:12" x14ac:dyDescent="0.25">
      <c r="A381" s="3" t="s">
        <v>1057</v>
      </c>
      <c r="B381" s="4" t="s">
        <v>1058</v>
      </c>
      <c r="C381" s="4" t="s">
        <v>14</v>
      </c>
      <c r="D381" s="4" t="s">
        <v>15</v>
      </c>
      <c r="E381" s="5" t="str">
        <f>"9050010"</f>
        <v>9050010</v>
      </c>
      <c r="F381" s="3" t="s">
        <v>1272</v>
      </c>
      <c r="G381" s="5">
        <v>2106465914</v>
      </c>
      <c r="H381" s="4" t="s">
        <v>1273</v>
      </c>
      <c r="I381" s="4" t="s">
        <v>1070</v>
      </c>
      <c r="J381" s="4" t="s">
        <v>1071</v>
      </c>
      <c r="K381" s="4" t="s">
        <v>1274</v>
      </c>
      <c r="L381" s="5">
        <v>11522</v>
      </c>
    </row>
    <row r="382" spans="1:12" x14ac:dyDescent="0.25">
      <c r="A382" s="3" t="s">
        <v>1057</v>
      </c>
      <c r="B382" s="4" t="s">
        <v>1058</v>
      </c>
      <c r="C382" s="4" t="s">
        <v>14</v>
      </c>
      <c r="D382" s="4" t="s">
        <v>15</v>
      </c>
      <c r="E382" s="5" t="str">
        <f>"9051111"</f>
        <v>9051111</v>
      </c>
      <c r="F382" s="3" t="s">
        <v>1275</v>
      </c>
      <c r="G382" s="5">
        <v>2109930454</v>
      </c>
      <c r="H382" s="4" t="s">
        <v>1276</v>
      </c>
      <c r="I382" s="4" t="s">
        <v>1131</v>
      </c>
      <c r="J382" s="4" t="s">
        <v>1132</v>
      </c>
      <c r="K382" s="4" t="s">
        <v>1149</v>
      </c>
      <c r="L382" s="5">
        <v>16341</v>
      </c>
    </row>
    <row r="383" spans="1:12" x14ac:dyDescent="0.25">
      <c r="A383" s="3" t="s">
        <v>1057</v>
      </c>
      <c r="B383" s="4" t="s">
        <v>1058</v>
      </c>
      <c r="C383" s="4" t="s">
        <v>25</v>
      </c>
      <c r="D383" s="4" t="s">
        <v>26</v>
      </c>
      <c r="E383" s="5" t="str">
        <f>"9051018"</f>
        <v>9051018</v>
      </c>
      <c r="F383" s="3" t="s">
        <v>1277</v>
      </c>
      <c r="G383" s="5">
        <v>2107242073</v>
      </c>
      <c r="H383" s="4" t="s">
        <v>1278</v>
      </c>
      <c r="I383" s="4" t="s">
        <v>1075</v>
      </c>
      <c r="J383" s="4" t="s">
        <v>1101</v>
      </c>
      <c r="K383" s="4" t="s">
        <v>1279</v>
      </c>
      <c r="L383" s="5">
        <v>16122</v>
      </c>
    </row>
    <row r="384" spans="1:12" x14ac:dyDescent="0.25">
      <c r="A384" s="3" t="s">
        <v>1057</v>
      </c>
      <c r="B384" s="4" t="s">
        <v>1058</v>
      </c>
      <c r="C384" s="4" t="s">
        <v>25</v>
      </c>
      <c r="D384" s="4" t="s">
        <v>26</v>
      </c>
      <c r="E384" s="5" t="str">
        <f>"9051350"</f>
        <v>9051350</v>
      </c>
      <c r="F384" s="3" t="s">
        <v>1280</v>
      </c>
      <c r="G384" s="5">
        <v>2109023685</v>
      </c>
      <c r="H384" s="4" t="s">
        <v>1281</v>
      </c>
      <c r="I384" s="4" t="s">
        <v>1070</v>
      </c>
      <c r="J384" s="4" t="s">
        <v>1071</v>
      </c>
      <c r="K384" s="4" t="s">
        <v>1282</v>
      </c>
      <c r="L384" s="5">
        <v>11744</v>
      </c>
    </row>
    <row r="385" spans="1:12" x14ac:dyDescent="0.25">
      <c r="A385" s="3" t="s">
        <v>1057</v>
      </c>
      <c r="B385" s="4" t="s">
        <v>1058</v>
      </c>
      <c r="C385" s="4" t="s">
        <v>25</v>
      </c>
      <c r="D385" s="4" t="s">
        <v>26</v>
      </c>
      <c r="E385" s="5" t="str">
        <f>"9051014"</f>
        <v>9051014</v>
      </c>
      <c r="F385" s="3" t="s">
        <v>1283</v>
      </c>
      <c r="G385" s="5">
        <v>2107799440</v>
      </c>
      <c r="H385" s="4" t="s">
        <v>1284</v>
      </c>
      <c r="I385" s="4" t="s">
        <v>1061</v>
      </c>
      <c r="J385" s="4" t="s">
        <v>1061</v>
      </c>
      <c r="K385" s="4" t="s">
        <v>1285</v>
      </c>
      <c r="L385" s="5">
        <v>15772</v>
      </c>
    </row>
    <row r="386" spans="1:12" x14ac:dyDescent="0.25">
      <c r="A386" s="3" t="s">
        <v>1057</v>
      </c>
      <c r="B386" s="4" t="s">
        <v>1058</v>
      </c>
      <c r="C386" s="4" t="s">
        <v>14</v>
      </c>
      <c r="D386" s="4" t="s">
        <v>15</v>
      </c>
      <c r="E386" s="5" t="str">
        <f>"9050121"</f>
        <v>9050121</v>
      </c>
      <c r="F386" s="3" t="s">
        <v>1286</v>
      </c>
      <c r="G386" s="5">
        <v>2107660352</v>
      </c>
      <c r="H386" s="4" t="s">
        <v>1287</v>
      </c>
      <c r="I386" s="4" t="s">
        <v>1065</v>
      </c>
      <c r="J386" s="4" t="s">
        <v>1066</v>
      </c>
      <c r="K386" s="4" t="s">
        <v>1086</v>
      </c>
      <c r="L386" s="5">
        <v>16231</v>
      </c>
    </row>
    <row r="387" spans="1:12" x14ac:dyDescent="0.25">
      <c r="A387" s="3" t="s">
        <v>1057</v>
      </c>
      <c r="B387" s="4" t="s">
        <v>1058</v>
      </c>
      <c r="C387" s="4" t="s">
        <v>14</v>
      </c>
      <c r="D387" s="4" t="s">
        <v>15</v>
      </c>
      <c r="E387" s="5" t="str">
        <f>"9050513"</f>
        <v>9050513</v>
      </c>
      <c r="F387" s="3" t="s">
        <v>1288</v>
      </c>
      <c r="G387" s="5">
        <v>2102912394</v>
      </c>
      <c r="H387" s="4" t="s">
        <v>1289</v>
      </c>
      <c r="I387" s="4" t="s">
        <v>1070</v>
      </c>
      <c r="J387" s="4" t="s">
        <v>1071</v>
      </c>
      <c r="K387" s="4" t="s">
        <v>1290</v>
      </c>
      <c r="L387" s="5">
        <v>11142</v>
      </c>
    </row>
    <row r="388" spans="1:12" x14ac:dyDescent="0.25">
      <c r="A388" s="3" t="s">
        <v>1057</v>
      </c>
      <c r="B388" s="4" t="s">
        <v>1058</v>
      </c>
      <c r="C388" s="4" t="s">
        <v>25</v>
      </c>
      <c r="D388" s="4" t="s">
        <v>26</v>
      </c>
      <c r="E388" s="5" t="str">
        <f>"9051624"</f>
        <v>9051624</v>
      </c>
      <c r="F388" s="3" t="s">
        <v>1291</v>
      </c>
      <c r="G388" s="5">
        <v>2114189728</v>
      </c>
      <c r="H388" s="4" t="s">
        <v>1292</v>
      </c>
      <c r="I388" s="4" t="s">
        <v>1061</v>
      </c>
      <c r="J388" s="4" t="s">
        <v>1061</v>
      </c>
      <c r="K388" s="4" t="s">
        <v>1062</v>
      </c>
      <c r="L388" s="5">
        <v>15773</v>
      </c>
    </row>
    <row r="389" spans="1:12" x14ac:dyDescent="0.25">
      <c r="A389" s="3" t="s">
        <v>1057</v>
      </c>
      <c r="B389" s="4" t="s">
        <v>1058</v>
      </c>
      <c r="C389" s="4" t="s">
        <v>14</v>
      </c>
      <c r="D389" s="4" t="s">
        <v>15</v>
      </c>
      <c r="E389" s="5" t="str">
        <f>"9051477"</f>
        <v>9051477</v>
      </c>
      <c r="F389" s="3" t="s">
        <v>1293</v>
      </c>
      <c r="G389" s="5">
        <v>2102922115</v>
      </c>
      <c r="H389" s="4" t="s">
        <v>1294</v>
      </c>
      <c r="I389" s="4" t="s">
        <v>1295</v>
      </c>
      <c r="J389" s="4" t="s">
        <v>1296</v>
      </c>
      <c r="K389" s="4" t="s">
        <v>1297</v>
      </c>
      <c r="L389" s="5">
        <v>11146</v>
      </c>
    </row>
    <row r="390" spans="1:12" x14ac:dyDescent="0.25">
      <c r="A390" s="3" t="s">
        <v>1057</v>
      </c>
      <c r="B390" s="4" t="s">
        <v>1058</v>
      </c>
      <c r="C390" s="4" t="s">
        <v>25</v>
      </c>
      <c r="D390" s="4" t="s">
        <v>26</v>
      </c>
      <c r="E390" s="5" t="str">
        <f>"9051380"</f>
        <v>9051380</v>
      </c>
      <c r="F390" s="3" t="s">
        <v>1298</v>
      </c>
      <c r="G390" s="5">
        <v>2105150364</v>
      </c>
      <c r="H390" s="4" t="s">
        <v>1299</v>
      </c>
      <c r="I390" s="4" t="s">
        <v>1070</v>
      </c>
      <c r="J390" s="4" t="s">
        <v>1105</v>
      </c>
      <c r="K390" s="4" t="s">
        <v>1300</v>
      </c>
      <c r="L390" s="5">
        <v>10443</v>
      </c>
    </row>
    <row r="391" spans="1:12" x14ac:dyDescent="0.25">
      <c r="A391" s="3" t="s">
        <v>1057</v>
      </c>
      <c r="B391" s="4" t="s">
        <v>1058</v>
      </c>
      <c r="C391" s="4" t="s">
        <v>25</v>
      </c>
      <c r="D391" s="4" t="s">
        <v>26</v>
      </c>
      <c r="E391" s="5" t="str">
        <f>"9051008"</f>
        <v>9051008</v>
      </c>
      <c r="F391" s="3" t="s">
        <v>1301</v>
      </c>
      <c r="G391" s="5">
        <v>2105125109</v>
      </c>
      <c r="H391" s="4" t="s">
        <v>1302</v>
      </c>
      <c r="I391" s="4" t="s">
        <v>1070</v>
      </c>
      <c r="J391" s="4" t="s">
        <v>1105</v>
      </c>
      <c r="K391" s="4" t="s">
        <v>1303</v>
      </c>
      <c r="L391" s="5">
        <v>10444</v>
      </c>
    </row>
    <row r="392" spans="1:12" x14ac:dyDescent="0.25">
      <c r="A392" s="3" t="s">
        <v>1057</v>
      </c>
      <c r="B392" s="4" t="s">
        <v>1058</v>
      </c>
      <c r="C392" s="4" t="s">
        <v>14</v>
      </c>
      <c r="D392" s="4" t="s">
        <v>15</v>
      </c>
      <c r="E392" s="5" t="str">
        <f>"9050079"</f>
        <v>9050079</v>
      </c>
      <c r="F392" s="3" t="s">
        <v>1304</v>
      </c>
      <c r="G392" s="5">
        <v>2107773731</v>
      </c>
      <c r="H392" s="4" t="s">
        <v>1305</v>
      </c>
      <c r="I392" s="4" t="s">
        <v>1061</v>
      </c>
      <c r="J392" s="4" t="s">
        <v>1061</v>
      </c>
      <c r="K392" s="4" t="s">
        <v>1306</v>
      </c>
      <c r="L392" s="5">
        <v>15773</v>
      </c>
    </row>
    <row r="393" spans="1:12" x14ac:dyDescent="0.25">
      <c r="A393" s="3" t="s">
        <v>1057</v>
      </c>
      <c r="B393" s="4" t="s">
        <v>1058</v>
      </c>
      <c r="C393" s="4" t="s">
        <v>14</v>
      </c>
      <c r="D393" s="4" t="s">
        <v>15</v>
      </c>
      <c r="E393" s="5" t="str">
        <f>"9050089"</f>
        <v>9050089</v>
      </c>
      <c r="F393" s="3" t="s">
        <v>1307</v>
      </c>
      <c r="G393" s="5">
        <v>2107781481</v>
      </c>
      <c r="H393" s="4" t="s">
        <v>1308</v>
      </c>
      <c r="I393" s="4" t="s">
        <v>1061</v>
      </c>
      <c r="J393" s="4" t="s">
        <v>1061</v>
      </c>
      <c r="K393" s="4" t="s">
        <v>1309</v>
      </c>
      <c r="L393" s="5">
        <v>15773</v>
      </c>
    </row>
    <row r="394" spans="1:12" x14ac:dyDescent="0.25">
      <c r="A394" s="3" t="s">
        <v>1057</v>
      </c>
      <c r="B394" s="4" t="s">
        <v>1058</v>
      </c>
      <c r="C394" s="4" t="s">
        <v>14</v>
      </c>
      <c r="D394" s="4" t="s">
        <v>15</v>
      </c>
      <c r="E394" s="5" t="str">
        <f>"9050162"</f>
        <v>9050162</v>
      </c>
      <c r="F394" s="3" t="s">
        <v>1310</v>
      </c>
      <c r="G394" s="5">
        <v>2109919528</v>
      </c>
      <c r="H394" s="4" t="s">
        <v>1311</v>
      </c>
      <c r="I394" s="4" t="s">
        <v>1131</v>
      </c>
      <c r="J394" s="4" t="s">
        <v>1132</v>
      </c>
      <c r="K394" s="4" t="s">
        <v>1312</v>
      </c>
      <c r="L394" s="5">
        <v>16346</v>
      </c>
    </row>
    <row r="395" spans="1:12" x14ac:dyDescent="0.25">
      <c r="A395" s="3" t="s">
        <v>1057</v>
      </c>
      <c r="B395" s="4" t="s">
        <v>1058</v>
      </c>
      <c r="C395" s="4" t="s">
        <v>25</v>
      </c>
      <c r="D395" s="4" t="s">
        <v>26</v>
      </c>
      <c r="E395" s="5" t="str">
        <f>"9051027"</f>
        <v>9051027</v>
      </c>
      <c r="F395" s="3" t="s">
        <v>1313</v>
      </c>
      <c r="G395" s="5">
        <v>2109940925</v>
      </c>
      <c r="H395" s="4" t="s">
        <v>1314</v>
      </c>
      <c r="I395" s="4" t="s">
        <v>1131</v>
      </c>
      <c r="J395" s="4" t="s">
        <v>1136</v>
      </c>
      <c r="K395" s="4" t="s">
        <v>1315</v>
      </c>
      <c r="L395" s="5">
        <v>16346</v>
      </c>
    </row>
    <row r="396" spans="1:12" x14ac:dyDescent="0.25">
      <c r="A396" s="3" t="s">
        <v>1057</v>
      </c>
      <c r="B396" s="4" t="s">
        <v>1058</v>
      </c>
      <c r="C396" s="4" t="s">
        <v>25</v>
      </c>
      <c r="D396" s="4" t="s">
        <v>26</v>
      </c>
      <c r="E396" s="5" t="str">
        <f>"9051195"</f>
        <v>9051195</v>
      </c>
      <c r="F396" s="3" t="s">
        <v>1316</v>
      </c>
      <c r="G396" s="5">
        <v>2109710300</v>
      </c>
      <c r="H396" s="4" t="s">
        <v>1317</v>
      </c>
      <c r="I396" s="4" t="s">
        <v>1154</v>
      </c>
      <c r="J396" s="4" t="s">
        <v>1318</v>
      </c>
      <c r="K396" s="4" t="s">
        <v>1319</v>
      </c>
      <c r="L396" s="5">
        <v>17235</v>
      </c>
    </row>
    <row r="397" spans="1:12" x14ac:dyDescent="0.25">
      <c r="A397" s="3" t="s">
        <v>1057</v>
      </c>
      <c r="B397" s="4" t="s">
        <v>1058</v>
      </c>
      <c r="C397" s="4" t="s">
        <v>14</v>
      </c>
      <c r="D397" s="4" t="s">
        <v>15</v>
      </c>
      <c r="E397" s="5" t="str">
        <f>"9051641"</f>
        <v>9051641</v>
      </c>
      <c r="F397" s="3" t="s">
        <v>1320</v>
      </c>
      <c r="G397" s="5">
        <v>2102530444</v>
      </c>
      <c r="H397" s="4" t="s">
        <v>1321</v>
      </c>
      <c r="I397" s="4" t="s">
        <v>1070</v>
      </c>
      <c r="J397" s="4" t="s">
        <v>1071</v>
      </c>
      <c r="K397" s="4" t="s">
        <v>1228</v>
      </c>
      <c r="L397" s="5">
        <v>11142</v>
      </c>
    </row>
    <row r="398" spans="1:12" x14ac:dyDescent="0.25">
      <c r="A398" s="3" t="s">
        <v>1057</v>
      </c>
      <c r="B398" s="4" t="s">
        <v>1058</v>
      </c>
      <c r="C398" s="4" t="s">
        <v>14</v>
      </c>
      <c r="D398" s="4" t="s">
        <v>15</v>
      </c>
      <c r="E398" s="5" t="str">
        <f>"9050446"</f>
        <v>9050446</v>
      </c>
      <c r="F398" s="3" t="s">
        <v>1322</v>
      </c>
      <c r="G398" s="5">
        <v>2108328326</v>
      </c>
      <c r="H398" s="4" t="s">
        <v>1323</v>
      </c>
      <c r="I398" s="4" t="s">
        <v>1070</v>
      </c>
      <c r="J398" s="4" t="s">
        <v>1215</v>
      </c>
      <c r="K398" s="4" t="s">
        <v>1324</v>
      </c>
      <c r="L398" s="5">
        <v>10445</v>
      </c>
    </row>
    <row r="399" spans="1:12" x14ac:dyDescent="0.25">
      <c r="A399" s="3" t="s">
        <v>1057</v>
      </c>
      <c r="B399" s="4" t="s">
        <v>1058</v>
      </c>
      <c r="C399" s="4" t="s">
        <v>14</v>
      </c>
      <c r="D399" s="4" t="s">
        <v>15</v>
      </c>
      <c r="E399" s="5" t="str">
        <f>"9050308"</f>
        <v>9050308</v>
      </c>
      <c r="F399" s="3" t="s">
        <v>1325</v>
      </c>
      <c r="G399" s="5">
        <v>2105131133</v>
      </c>
      <c r="H399" s="4" t="s">
        <v>1326</v>
      </c>
      <c r="I399" s="4" t="s">
        <v>1070</v>
      </c>
      <c r="J399" s="4" t="s">
        <v>1071</v>
      </c>
      <c r="K399" s="4" t="s">
        <v>1327</v>
      </c>
      <c r="L399" s="5">
        <v>10444</v>
      </c>
    </row>
    <row r="400" spans="1:12" x14ac:dyDescent="0.25">
      <c r="A400" s="3" t="s">
        <v>1057</v>
      </c>
      <c r="B400" s="4" t="s">
        <v>1058</v>
      </c>
      <c r="C400" s="4" t="s">
        <v>14</v>
      </c>
      <c r="D400" s="4" t="s">
        <v>15</v>
      </c>
      <c r="E400" s="5" t="str">
        <f>"9051813"</f>
        <v>9051813</v>
      </c>
      <c r="F400" s="3" t="s">
        <v>1328</v>
      </c>
      <c r="G400" s="5">
        <v>2107752400</v>
      </c>
      <c r="H400" s="4" t="s">
        <v>1329</v>
      </c>
      <c r="I400" s="4" t="s">
        <v>1061</v>
      </c>
      <c r="J400" s="4" t="s">
        <v>1061</v>
      </c>
      <c r="K400" s="4" t="s">
        <v>1330</v>
      </c>
      <c r="L400" s="5">
        <v>15773</v>
      </c>
    </row>
    <row r="401" spans="1:12" x14ac:dyDescent="0.25">
      <c r="A401" s="3" t="s">
        <v>1057</v>
      </c>
      <c r="B401" s="4" t="s">
        <v>1058</v>
      </c>
      <c r="C401" s="4" t="s">
        <v>25</v>
      </c>
      <c r="D401" s="4" t="s">
        <v>26</v>
      </c>
      <c r="E401" s="5" t="str">
        <f>"9051022"</f>
        <v>9051022</v>
      </c>
      <c r="F401" s="3" t="s">
        <v>1331</v>
      </c>
      <c r="G401" s="5">
        <v>2102922347</v>
      </c>
      <c r="H401" s="4" t="s">
        <v>1332</v>
      </c>
      <c r="I401" s="4" t="s">
        <v>1070</v>
      </c>
      <c r="J401" s="4" t="s">
        <v>1105</v>
      </c>
      <c r="K401" s="4" t="s">
        <v>1333</v>
      </c>
      <c r="L401" s="5">
        <v>11142</v>
      </c>
    </row>
    <row r="402" spans="1:12" x14ac:dyDescent="0.25">
      <c r="A402" s="3" t="s">
        <v>1057</v>
      </c>
      <c r="B402" s="4" t="s">
        <v>1058</v>
      </c>
      <c r="C402" s="4" t="s">
        <v>14</v>
      </c>
      <c r="D402" s="4" t="s">
        <v>15</v>
      </c>
      <c r="E402" s="5" t="str">
        <f>"9050166"</f>
        <v>9050166</v>
      </c>
      <c r="F402" s="3" t="s">
        <v>1334</v>
      </c>
      <c r="G402" s="5">
        <v>2109919557</v>
      </c>
      <c r="H402" s="4" t="s">
        <v>1335</v>
      </c>
      <c r="I402" s="4" t="s">
        <v>1131</v>
      </c>
      <c r="J402" s="4" t="s">
        <v>1132</v>
      </c>
      <c r="K402" s="4" t="s">
        <v>1336</v>
      </c>
      <c r="L402" s="5">
        <v>16342</v>
      </c>
    </row>
    <row r="403" spans="1:12" x14ac:dyDescent="0.25">
      <c r="A403" s="3" t="s">
        <v>1057</v>
      </c>
      <c r="B403" s="4" t="s">
        <v>1058</v>
      </c>
      <c r="C403" s="4" t="s">
        <v>14</v>
      </c>
      <c r="D403" s="4" t="s">
        <v>15</v>
      </c>
      <c r="E403" s="5" t="str">
        <f>"9050011"</f>
        <v>9050011</v>
      </c>
      <c r="F403" s="3" t="s">
        <v>1337</v>
      </c>
      <c r="G403" s="5">
        <v>2106924906</v>
      </c>
      <c r="H403" s="4" t="s">
        <v>1338</v>
      </c>
      <c r="I403" s="4" t="s">
        <v>1070</v>
      </c>
      <c r="J403" s="4" t="s">
        <v>1339</v>
      </c>
      <c r="K403" s="4" t="s">
        <v>1340</v>
      </c>
      <c r="L403" s="5">
        <v>11523</v>
      </c>
    </row>
    <row r="404" spans="1:12" x14ac:dyDescent="0.25">
      <c r="A404" s="3" t="s">
        <v>1057</v>
      </c>
      <c r="B404" s="4" t="s">
        <v>1058</v>
      </c>
      <c r="C404" s="4" t="s">
        <v>14</v>
      </c>
      <c r="D404" s="4" t="s">
        <v>15</v>
      </c>
      <c r="E404" s="5" t="str">
        <f>"9051325"</f>
        <v>9051325</v>
      </c>
      <c r="F404" s="3" t="s">
        <v>1341</v>
      </c>
      <c r="G404" s="5">
        <v>2105135646</v>
      </c>
      <c r="H404" s="4" t="s">
        <v>1342</v>
      </c>
      <c r="I404" s="4" t="s">
        <v>1070</v>
      </c>
      <c r="J404" s="4" t="s">
        <v>1071</v>
      </c>
      <c r="K404" s="4" t="s">
        <v>1343</v>
      </c>
      <c r="L404" s="5">
        <v>10443</v>
      </c>
    </row>
    <row r="405" spans="1:12" x14ac:dyDescent="0.25">
      <c r="A405" s="3" t="s">
        <v>1057</v>
      </c>
      <c r="B405" s="4" t="s">
        <v>1058</v>
      </c>
      <c r="C405" s="4" t="s">
        <v>25</v>
      </c>
      <c r="D405" s="4" t="s">
        <v>26</v>
      </c>
      <c r="E405" s="5" t="str">
        <f>"9051619"</f>
        <v>9051619</v>
      </c>
      <c r="F405" s="3" t="s">
        <v>1344</v>
      </c>
      <c r="G405" s="5">
        <v>2105125129</v>
      </c>
      <c r="H405" s="4" t="s">
        <v>1345</v>
      </c>
      <c r="I405" s="4" t="s">
        <v>1070</v>
      </c>
      <c r="J405" s="4" t="s">
        <v>1105</v>
      </c>
      <c r="K405" s="4" t="s">
        <v>1346</v>
      </c>
      <c r="L405" s="5">
        <v>10444</v>
      </c>
    </row>
    <row r="406" spans="1:12" x14ac:dyDescent="0.25">
      <c r="A406" s="3" t="s">
        <v>1057</v>
      </c>
      <c r="B406" s="4" t="s">
        <v>1058</v>
      </c>
      <c r="C406" s="4" t="s">
        <v>25</v>
      </c>
      <c r="D406" s="4" t="s">
        <v>26</v>
      </c>
      <c r="E406" s="5" t="str">
        <f>"9050758"</f>
        <v>9050758</v>
      </c>
      <c r="F406" s="3" t="s">
        <v>1347</v>
      </c>
      <c r="G406" s="5">
        <v>2105125367</v>
      </c>
      <c r="H406" s="4" t="s">
        <v>1348</v>
      </c>
      <c r="I406" s="4" t="s">
        <v>1070</v>
      </c>
      <c r="J406" s="4" t="s">
        <v>1105</v>
      </c>
      <c r="K406" s="4" t="s">
        <v>1346</v>
      </c>
      <c r="L406" s="5">
        <v>10444</v>
      </c>
    </row>
    <row r="407" spans="1:12" x14ac:dyDescent="0.25">
      <c r="A407" s="3" t="s">
        <v>1057</v>
      </c>
      <c r="B407" s="4" t="s">
        <v>1058</v>
      </c>
      <c r="C407" s="4" t="s">
        <v>25</v>
      </c>
      <c r="D407" s="4" t="s">
        <v>26</v>
      </c>
      <c r="E407" s="5" t="str">
        <f>"9051289"</f>
        <v>9051289</v>
      </c>
      <c r="F407" s="3" t="s">
        <v>1349</v>
      </c>
      <c r="G407" s="5">
        <v>2108251454</v>
      </c>
      <c r="H407" s="4" t="s">
        <v>1350</v>
      </c>
      <c r="I407" s="4" t="s">
        <v>1070</v>
      </c>
      <c r="J407" s="4" t="s">
        <v>1215</v>
      </c>
      <c r="K407" s="4" t="s">
        <v>1121</v>
      </c>
      <c r="L407" s="5">
        <v>11473</v>
      </c>
    </row>
    <row r="408" spans="1:12" x14ac:dyDescent="0.25">
      <c r="A408" s="3" t="s">
        <v>1057</v>
      </c>
      <c r="B408" s="4" t="s">
        <v>1058</v>
      </c>
      <c r="C408" s="4" t="s">
        <v>25</v>
      </c>
      <c r="D408" s="4" t="s">
        <v>26</v>
      </c>
      <c r="E408" s="5" t="str">
        <f>"9051437"</f>
        <v>9051437</v>
      </c>
      <c r="F408" s="3" t="s">
        <v>1351</v>
      </c>
      <c r="G408" s="5">
        <v>2105151246</v>
      </c>
      <c r="H408" s="4" t="s">
        <v>1352</v>
      </c>
      <c r="I408" s="4" t="s">
        <v>1070</v>
      </c>
      <c r="J408" s="4" t="s">
        <v>1105</v>
      </c>
      <c r="K408" s="4" t="s">
        <v>1300</v>
      </c>
      <c r="L408" s="5">
        <v>10443</v>
      </c>
    </row>
    <row r="409" spans="1:12" ht="30" x14ac:dyDescent="0.25">
      <c r="A409" s="3" t="s">
        <v>1057</v>
      </c>
      <c r="B409" s="4" t="s">
        <v>1058</v>
      </c>
      <c r="C409" s="4" t="s">
        <v>14</v>
      </c>
      <c r="D409" s="4" t="s">
        <v>960</v>
      </c>
      <c r="E409" s="5" t="str">
        <f>"9050319"</f>
        <v>9050319</v>
      </c>
      <c r="F409" s="3" t="s">
        <v>1353</v>
      </c>
      <c r="G409" s="5">
        <v>2103465125</v>
      </c>
      <c r="H409" s="4" t="s">
        <v>1354</v>
      </c>
      <c r="I409" s="4" t="s">
        <v>1070</v>
      </c>
      <c r="J409" s="4" t="s">
        <v>1339</v>
      </c>
      <c r="K409" s="4" t="s">
        <v>1355</v>
      </c>
      <c r="L409" s="5">
        <v>11854</v>
      </c>
    </row>
    <row r="410" spans="1:12" x14ac:dyDescent="0.25">
      <c r="A410" s="3" t="s">
        <v>1057</v>
      </c>
      <c r="B410" s="4" t="s">
        <v>1058</v>
      </c>
      <c r="C410" s="4" t="s">
        <v>14</v>
      </c>
      <c r="D410" s="4" t="s">
        <v>15</v>
      </c>
      <c r="E410" s="5" t="str">
        <f>"9050443"</f>
        <v>9050443</v>
      </c>
      <c r="F410" s="3" t="s">
        <v>1356</v>
      </c>
      <c r="G410" s="5">
        <v>2108312090</v>
      </c>
      <c r="H410" s="4" t="s">
        <v>1357</v>
      </c>
      <c r="I410" s="4" t="s">
        <v>1070</v>
      </c>
      <c r="J410" s="4" t="s">
        <v>1071</v>
      </c>
      <c r="K410" s="4" t="s">
        <v>1358</v>
      </c>
      <c r="L410" s="5">
        <v>10445</v>
      </c>
    </row>
    <row r="411" spans="1:12" x14ac:dyDescent="0.25">
      <c r="A411" s="3" t="s">
        <v>1057</v>
      </c>
      <c r="B411" s="4" t="s">
        <v>1058</v>
      </c>
      <c r="C411" s="4" t="s">
        <v>25</v>
      </c>
      <c r="D411" s="4" t="s">
        <v>26</v>
      </c>
      <c r="E411" s="5" t="str">
        <f>"9050725"</f>
        <v>9050725</v>
      </c>
      <c r="F411" s="3" t="s">
        <v>1359</v>
      </c>
      <c r="G411" s="5">
        <v>2107512760</v>
      </c>
      <c r="H411" s="4" t="s">
        <v>1360</v>
      </c>
      <c r="I411" s="4" t="s">
        <v>1070</v>
      </c>
      <c r="J411" s="4" t="s">
        <v>1071</v>
      </c>
      <c r="K411" s="4" t="s">
        <v>1361</v>
      </c>
      <c r="L411" s="5">
        <v>11633</v>
      </c>
    </row>
    <row r="412" spans="1:12" x14ac:dyDescent="0.25">
      <c r="A412" s="3" t="s">
        <v>1057</v>
      </c>
      <c r="B412" s="4" t="s">
        <v>1058</v>
      </c>
      <c r="C412" s="4" t="s">
        <v>14</v>
      </c>
      <c r="D412" s="4" t="s">
        <v>15</v>
      </c>
      <c r="E412" s="5" t="str">
        <f>"9050167"</f>
        <v>9050167</v>
      </c>
      <c r="F412" s="3" t="s">
        <v>1362</v>
      </c>
      <c r="G412" s="5">
        <v>2107624395</v>
      </c>
      <c r="H412" s="4" t="s">
        <v>1363</v>
      </c>
      <c r="I412" s="4" t="s">
        <v>1131</v>
      </c>
      <c r="J412" s="4" t="s">
        <v>1155</v>
      </c>
      <c r="K412" s="4" t="s">
        <v>1364</v>
      </c>
      <c r="L412" s="5">
        <v>17237</v>
      </c>
    </row>
    <row r="413" spans="1:12" x14ac:dyDescent="0.25">
      <c r="A413" s="3" t="s">
        <v>1057</v>
      </c>
      <c r="B413" s="4" t="s">
        <v>1058</v>
      </c>
      <c r="C413" s="4" t="s">
        <v>14</v>
      </c>
      <c r="D413" s="4" t="s">
        <v>15</v>
      </c>
      <c r="E413" s="5" t="str">
        <f>"9050313"</f>
        <v>9050313</v>
      </c>
      <c r="F413" s="3" t="s">
        <v>1365</v>
      </c>
      <c r="G413" s="5">
        <v>2103469237</v>
      </c>
      <c r="H413" s="4" t="s">
        <v>1366</v>
      </c>
      <c r="I413" s="4" t="s">
        <v>1070</v>
      </c>
      <c r="J413" s="4" t="s">
        <v>1071</v>
      </c>
      <c r="K413" s="4" t="s">
        <v>1367</v>
      </c>
      <c r="L413" s="5">
        <v>11852</v>
      </c>
    </row>
    <row r="414" spans="1:12" x14ac:dyDescent="0.25">
      <c r="A414" s="3" t="s">
        <v>1057</v>
      </c>
      <c r="B414" s="4" t="s">
        <v>1058</v>
      </c>
      <c r="C414" s="4" t="s">
        <v>14</v>
      </c>
      <c r="D414" s="4" t="s">
        <v>15</v>
      </c>
      <c r="E414" s="5" t="str">
        <f>"9050005"</f>
        <v>9050005</v>
      </c>
      <c r="F414" s="3" t="s">
        <v>1368</v>
      </c>
      <c r="G414" s="5">
        <v>2106922030</v>
      </c>
      <c r="H414" s="4" t="s">
        <v>1369</v>
      </c>
      <c r="I414" s="4" t="s">
        <v>1070</v>
      </c>
      <c r="J414" s="4" t="s">
        <v>1071</v>
      </c>
      <c r="K414" s="4" t="s">
        <v>1370</v>
      </c>
      <c r="L414" s="5">
        <v>11524</v>
      </c>
    </row>
    <row r="415" spans="1:12" x14ac:dyDescent="0.25">
      <c r="A415" s="3" t="s">
        <v>1057</v>
      </c>
      <c r="B415" s="4" t="s">
        <v>1058</v>
      </c>
      <c r="C415" s="4" t="s">
        <v>14</v>
      </c>
      <c r="D415" s="4" t="s">
        <v>15</v>
      </c>
      <c r="E415" s="5" t="str">
        <f>"9050123"</f>
        <v>9050123</v>
      </c>
      <c r="F415" s="3" t="s">
        <v>1371</v>
      </c>
      <c r="G415" s="5">
        <v>2107660959</v>
      </c>
      <c r="H415" s="4" t="s">
        <v>1372</v>
      </c>
      <c r="I415" s="4" t="s">
        <v>1065</v>
      </c>
      <c r="J415" s="4" t="s">
        <v>1066</v>
      </c>
      <c r="K415" s="4" t="s">
        <v>1373</v>
      </c>
      <c r="L415" s="5">
        <v>16231</v>
      </c>
    </row>
    <row r="416" spans="1:12" x14ac:dyDescent="0.25">
      <c r="A416" s="3" t="s">
        <v>1057</v>
      </c>
      <c r="B416" s="4" t="s">
        <v>1058</v>
      </c>
      <c r="C416" s="4" t="s">
        <v>25</v>
      </c>
      <c r="D416" s="4" t="s">
        <v>26</v>
      </c>
      <c r="E416" s="5" t="str">
        <f>"9050783"</f>
        <v>9050783</v>
      </c>
      <c r="F416" s="3" t="s">
        <v>1374</v>
      </c>
      <c r="G416" s="5">
        <v>2102922655</v>
      </c>
      <c r="H416" s="4" t="s">
        <v>1375</v>
      </c>
      <c r="I416" s="4" t="s">
        <v>1070</v>
      </c>
      <c r="J416" s="4" t="s">
        <v>1105</v>
      </c>
      <c r="K416" s="4" t="s">
        <v>1376</v>
      </c>
      <c r="L416" s="5">
        <v>11142</v>
      </c>
    </row>
    <row r="417" spans="1:12" x14ac:dyDescent="0.25">
      <c r="A417" s="3" t="s">
        <v>1057</v>
      </c>
      <c r="B417" s="4" t="s">
        <v>1058</v>
      </c>
      <c r="C417" s="4" t="s">
        <v>25</v>
      </c>
      <c r="D417" s="4" t="s">
        <v>26</v>
      </c>
      <c r="E417" s="5" t="str">
        <f>"9051554"</f>
        <v>9051554</v>
      </c>
      <c r="F417" s="3" t="s">
        <v>1377</v>
      </c>
      <c r="G417" s="5">
        <v>2102023106</v>
      </c>
      <c r="H417" s="4" t="s">
        <v>1378</v>
      </c>
      <c r="I417" s="4" t="s">
        <v>1070</v>
      </c>
      <c r="J417" s="4" t="s">
        <v>1105</v>
      </c>
      <c r="K417" s="4" t="s">
        <v>1379</v>
      </c>
      <c r="L417" s="5">
        <v>11255</v>
      </c>
    </row>
    <row r="418" spans="1:12" x14ac:dyDescent="0.25">
      <c r="A418" s="3" t="s">
        <v>1057</v>
      </c>
      <c r="B418" s="4" t="s">
        <v>1058</v>
      </c>
      <c r="C418" s="4" t="s">
        <v>14</v>
      </c>
      <c r="D418" s="4" t="s">
        <v>15</v>
      </c>
      <c r="E418" s="5" t="str">
        <f>"9050122"</f>
        <v>9050122</v>
      </c>
      <c r="F418" s="3" t="s">
        <v>1380</v>
      </c>
      <c r="G418" s="5">
        <v>2107227256</v>
      </c>
      <c r="H418" s="4" t="s">
        <v>1381</v>
      </c>
      <c r="I418" s="4" t="s">
        <v>1075</v>
      </c>
      <c r="J418" s="4" t="s">
        <v>1101</v>
      </c>
      <c r="K418" s="4" t="s">
        <v>1382</v>
      </c>
      <c r="L418" s="5">
        <v>16122</v>
      </c>
    </row>
    <row r="419" spans="1:12" x14ac:dyDescent="0.25">
      <c r="A419" s="3" t="s">
        <v>1057</v>
      </c>
      <c r="B419" s="4" t="s">
        <v>1058</v>
      </c>
      <c r="C419" s="4" t="s">
        <v>25</v>
      </c>
      <c r="D419" s="4" t="s">
        <v>26</v>
      </c>
      <c r="E419" s="5" t="str">
        <f>"9051198"</f>
        <v>9051198</v>
      </c>
      <c r="F419" s="3" t="s">
        <v>1383</v>
      </c>
      <c r="G419" s="5">
        <v>2102281930</v>
      </c>
      <c r="H419" s="4" t="s">
        <v>1384</v>
      </c>
      <c r="I419" s="4" t="s">
        <v>1070</v>
      </c>
      <c r="J419" s="4" t="s">
        <v>1105</v>
      </c>
      <c r="K419" s="4" t="s">
        <v>1385</v>
      </c>
      <c r="L419" s="5">
        <v>11144</v>
      </c>
    </row>
    <row r="420" spans="1:12" x14ac:dyDescent="0.25">
      <c r="A420" s="3" t="s">
        <v>1057</v>
      </c>
      <c r="B420" s="4" t="s">
        <v>1058</v>
      </c>
      <c r="C420" s="4" t="s">
        <v>25</v>
      </c>
      <c r="D420" s="4" t="s">
        <v>26</v>
      </c>
      <c r="E420" s="5" t="str">
        <f>"9050856"</f>
        <v>9050856</v>
      </c>
      <c r="F420" s="3" t="s">
        <v>1386</v>
      </c>
      <c r="G420" s="5">
        <v>2102285885</v>
      </c>
      <c r="H420" s="4" t="s">
        <v>1387</v>
      </c>
      <c r="I420" s="4" t="s">
        <v>1070</v>
      </c>
      <c r="J420" s="4" t="s">
        <v>1105</v>
      </c>
      <c r="K420" s="4" t="s">
        <v>1388</v>
      </c>
      <c r="L420" s="5">
        <v>11144</v>
      </c>
    </row>
    <row r="421" spans="1:12" x14ac:dyDescent="0.25">
      <c r="A421" s="3" t="s">
        <v>1057</v>
      </c>
      <c r="B421" s="4" t="s">
        <v>1058</v>
      </c>
      <c r="C421" s="4" t="s">
        <v>14</v>
      </c>
      <c r="D421" s="4" t="s">
        <v>15</v>
      </c>
      <c r="E421" s="5" t="str">
        <f>"9050154"</f>
        <v>9050154</v>
      </c>
      <c r="F421" s="3" t="s">
        <v>1389</v>
      </c>
      <c r="G421" s="5">
        <v>2109708283</v>
      </c>
      <c r="H421" s="4" t="s">
        <v>1390</v>
      </c>
      <c r="I421" s="4" t="s">
        <v>1154</v>
      </c>
      <c r="J421" s="4" t="s">
        <v>1318</v>
      </c>
      <c r="K421" s="4" t="s">
        <v>1391</v>
      </c>
      <c r="L421" s="5">
        <v>17236</v>
      </c>
    </row>
    <row r="422" spans="1:12" x14ac:dyDescent="0.25">
      <c r="A422" s="3" t="s">
        <v>1057</v>
      </c>
      <c r="B422" s="4" t="s">
        <v>1058</v>
      </c>
      <c r="C422" s="4" t="s">
        <v>14</v>
      </c>
      <c r="D422" s="4" t="s">
        <v>15</v>
      </c>
      <c r="E422" s="5" t="str">
        <f>"9050305"</f>
        <v>9050305</v>
      </c>
      <c r="F422" s="3" t="s">
        <v>1392</v>
      </c>
      <c r="G422" s="5">
        <v>2105232906</v>
      </c>
      <c r="H422" s="4" t="s">
        <v>1393</v>
      </c>
      <c r="I422" s="4" t="s">
        <v>1070</v>
      </c>
      <c r="J422" s="4" t="s">
        <v>1071</v>
      </c>
      <c r="K422" s="4" t="s">
        <v>1394</v>
      </c>
      <c r="L422" s="5">
        <v>10435</v>
      </c>
    </row>
    <row r="423" spans="1:12" x14ac:dyDescent="0.25">
      <c r="A423" s="3" t="s">
        <v>1057</v>
      </c>
      <c r="B423" s="4" t="s">
        <v>1058</v>
      </c>
      <c r="C423" s="4" t="s">
        <v>25</v>
      </c>
      <c r="D423" s="4" t="s">
        <v>26</v>
      </c>
      <c r="E423" s="5" t="str">
        <f>"9051618"</f>
        <v>9051618</v>
      </c>
      <c r="F423" s="3" t="s">
        <v>1395</v>
      </c>
      <c r="G423" s="5">
        <v>2117404913</v>
      </c>
      <c r="H423" s="4" t="s">
        <v>1396</v>
      </c>
      <c r="I423" s="4" t="s">
        <v>1065</v>
      </c>
      <c r="J423" s="4" t="s">
        <v>1085</v>
      </c>
      <c r="K423" s="4" t="s">
        <v>1190</v>
      </c>
      <c r="L423" s="5">
        <v>16232</v>
      </c>
    </row>
    <row r="424" spans="1:12" x14ac:dyDescent="0.25">
      <c r="A424" s="3" t="s">
        <v>1057</v>
      </c>
      <c r="B424" s="4" t="s">
        <v>1058</v>
      </c>
      <c r="C424" s="4" t="s">
        <v>14</v>
      </c>
      <c r="D424" s="4" t="s">
        <v>15</v>
      </c>
      <c r="E424" s="5" t="str">
        <f>"9050172"</f>
        <v>9050172</v>
      </c>
      <c r="F424" s="3" t="s">
        <v>1397</v>
      </c>
      <c r="G424" s="5">
        <v>2107610004</v>
      </c>
      <c r="H424" s="4" t="s">
        <v>1398</v>
      </c>
      <c r="I424" s="4" t="s">
        <v>1154</v>
      </c>
      <c r="J424" s="4" t="s">
        <v>1155</v>
      </c>
      <c r="K424" s="4" t="s">
        <v>1399</v>
      </c>
      <c r="L424" s="5">
        <v>17237</v>
      </c>
    </row>
    <row r="425" spans="1:12" x14ac:dyDescent="0.25">
      <c r="A425" s="3" t="s">
        <v>1057</v>
      </c>
      <c r="B425" s="4" t="s">
        <v>1058</v>
      </c>
      <c r="C425" s="4" t="s">
        <v>14</v>
      </c>
      <c r="D425" s="4" t="s">
        <v>15</v>
      </c>
      <c r="E425" s="5" t="str">
        <f>"9050524"</f>
        <v>9050524</v>
      </c>
      <c r="F425" s="3" t="s">
        <v>1400</v>
      </c>
      <c r="G425" s="5">
        <v>2108659980</v>
      </c>
      <c r="H425" s="4" t="s">
        <v>1401</v>
      </c>
      <c r="I425" s="4" t="s">
        <v>1070</v>
      </c>
      <c r="J425" s="4" t="s">
        <v>1071</v>
      </c>
      <c r="K425" s="4" t="s">
        <v>1402</v>
      </c>
      <c r="L425" s="5">
        <v>11363</v>
      </c>
    </row>
    <row r="426" spans="1:12" x14ac:dyDescent="0.25">
      <c r="A426" s="3" t="s">
        <v>1057</v>
      </c>
      <c r="B426" s="4" t="s">
        <v>1058</v>
      </c>
      <c r="C426" s="4" t="s">
        <v>25</v>
      </c>
      <c r="D426" s="4" t="s">
        <v>26</v>
      </c>
      <c r="E426" s="5" t="str">
        <f>"9051401"</f>
        <v>9051401</v>
      </c>
      <c r="F426" s="3" t="s">
        <v>1403</v>
      </c>
      <c r="G426" s="5">
        <v>2109951507</v>
      </c>
      <c r="H426" s="4" t="s">
        <v>1404</v>
      </c>
      <c r="I426" s="4" t="s">
        <v>1131</v>
      </c>
      <c r="J426" s="4" t="s">
        <v>1136</v>
      </c>
      <c r="K426" s="4" t="s">
        <v>1405</v>
      </c>
      <c r="L426" s="5">
        <v>16343</v>
      </c>
    </row>
    <row r="427" spans="1:12" x14ac:dyDescent="0.25">
      <c r="A427" s="3" t="s">
        <v>1057</v>
      </c>
      <c r="B427" s="4" t="s">
        <v>1058</v>
      </c>
      <c r="C427" s="4" t="s">
        <v>14</v>
      </c>
      <c r="D427" s="4" t="s">
        <v>15</v>
      </c>
      <c r="E427" s="5" t="str">
        <f>"9050461"</f>
        <v>9050461</v>
      </c>
      <c r="F427" s="3" t="s">
        <v>1406</v>
      </c>
      <c r="G427" s="5">
        <v>2102511124</v>
      </c>
      <c r="H427" s="4" t="s">
        <v>1407</v>
      </c>
      <c r="I427" s="4" t="s">
        <v>1257</v>
      </c>
      <c r="J427" s="4" t="s">
        <v>1408</v>
      </c>
      <c r="K427" s="4" t="s">
        <v>1409</v>
      </c>
      <c r="L427" s="5">
        <v>14341</v>
      </c>
    </row>
    <row r="428" spans="1:12" x14ac:dyDescent="0.25">
      <c r="A428" s="3" t="s">
        <v>1057</v>
      </c>
      <c r="B428" s="4" t="s">
        <v>1058</v>
      </c>
      <c r="C428" s="4" t="s">
        <v>14</v>
      </c>
      <c r="D428" s="4" t="s">
        <v>15</v>
      </c>
      <c r="E428" s="5" t="str">
        <f>"9051098"</f>
        <v>9051098</v>
      </c>
      <c r="F428" s="3" t="s">
        <v>1410</v>
      </c>
      <c r="G428" s="5">
        <v>2109019100</v>
      </c>
      <c r="H428" s="4" t="s">
        <v>1411</v>
      </c>
      <c r="I428" s="4" t="s">
        <v>1070</v>
      </c>
      <c r="J428" s="4" t="s">
        <v>1071</v>
      </c>
      <c r="K428" s="4" t="s">
        <v>1412</v>
      </c>
      <c r="L428" s="5">
        <v>11745</v>
      </c>
    </row>
    <row r="429" spans="1:12" x14ac:dyDescent="0.25">
      <c r="A429" s="3" t="s">
        <v>1057</v>
      </c>
      <c r="B429" s="4" t="s">
        <v>1058</v>
      </c>
      <c r="C429" s="4" t="s">
        <v>25</v>
      </c>
      <c r="D429" s="4" t="s">
        <v>26</v>
      </c>
      <c r="E429" s="5" t="str">
        <f>"9050514"</f>
        <v>9050514</v>
      </c>
      <c r="F429" s="3" t="s">
        <v>1413</v>
      </c>
      <c r="G429" s="5">
        <v>2102525374</v>
      </c>
      <c r="H429" s="4" t="s">
        <v>1414</v>
      </c>
      <c r="I429" s="4" t="s">
        <v>1070</v>
      </c>
      <c r="J429" s="4" t="s">
        <v>1105</v>
      </c>
      <c r="K429" s="4" t="s">
        <v>1415</v>
      </c>
      <c r="L429" s="5">
        <v>11142</v>
      </c>
    </row>
    <row r="430" spans="1:12" x14ac:dyDescent="0.25">
      <c r="A430" s="3" t="s">
        <v>1057</v>
      </c>
      <c r="B430" s="4" t="s">
        <v>1058</v>
      </c>
      <c r="C430" s="4" t="s">
        <v>14</v>
      </c>
      <c r="D430" s="4" t="s">
        <v>15</v>
      </c>
      <c r="E430" s="5" t="str">
        <f>"9050316"</f>
        <v>9050316</v>
      </c>
      <c r="F430" s="3" t="s">
        <v>1416</v>
      </c>
      <c r="G430" s="5">
        <v>2103464992</v>
      </c>
      <c r="H430" s="4" t="s">
        <v>1417</v>
      </c>
      <c r="I430" s="4" t="s">
        <v>1070</v>
      </c>
      <c r="J430" s="4" t="s">
        <v>1339</v>
      </c>
      <c r="K430" s="4" t="s">
        <v>1418</v>
      </c>
      <c r="L430" s="5">
        <v>11853</v>
      </c>
    </row>
    <row r="431" spans="1:12" x14ac:dyDescent="0.25">
      <c r="A431" s="3" t="s">
        <v>1057</v>
      </c>
      <c r="B431" s="4" t="s">
        <v>1058</v>
      </c>
      <c r="C431" s="4" t="s">
        <v>14</v>
      </c>
      <c r="D431" s="4" t="s">
        <v>15</v>
      </c>
      <c r="E431" s="5" t="str">
        <f>"9050966"</f>
        <v>9050966</v>
      </c>
      <c r="F431" s="3" t="s">
        <v>1419</v>
      </c>
      <c r="G431" s="5">
        <v>2109922216</v>
      </c>
      <c r="H431" s="4" t="s">
        <v>1420</v>
      </c>
      <c r="I431" s="4" t="s">
        <v>1131</v>
      </c>
      <c r="J431" s="4" t="s">
        <v>1132</v>
      </c>
      <c r="K431" s="4" t="s">
        <v>1421</v>
      </c>
      <c r="L431" s="5">
        <v>16341</v>
      </c>
    </row>
    <row r="432" spans="1:12" x14ac:dyDescent="0.25">
      <c r="A432" s="3" t="s">
        <v>1057</v>
      </c>
      <c r="B432" s="4" t="s">
        <v>1058</v>
      </c>
      <c r="C432" s="4" t="s">
        <v>14</v>
      </c>
      <c r="D432" s="4" t="s">
        <v>15</v>
      </c>
      <c r="E432" s="5" t="str">
        <f>"9050834"</f>
        <v>9050834</v>
      </c>
      <c r="F432" s="3" t="s">
        <v>1422</v>
      </c>
      <c r="G432" s="5">
        <v>2109922612</v>
      </c>
      <c r="H432" s="4" t="s">
        <v>1423</v>
      </c>
      <c r="I432" s="4" t="s">
        <v>1131</v>
      </c>
      <c r="J432" s="4" t="s">
        <v>1132</v>
      </c>
      <c r="K432" s="4" t="s">
        <v>1424</v>
      </c>
      <c r="L432" s="5">
        <v>16346</v>
      </c>
    </row>
    <row r="433" spans="1:12" x14ac:dyDescent="0.25">
      <c r="A433" s="3" t="s">
        <v>1057</v>
      </c>
      <c r="B433" s="4" t="s">
        <v>1058</v>
      </c>
      <c r="C433" s="4" t="s">
        <v>14</v>
      </c>
      <c r="D433" s="4" t="s">
        <v>15</v>
      </c>
      <c r="E433" s="5" t="str">
        <f>"9050307"</f>
        <v>9050307</v>
      </c>
      <c r="F433" s="3" t="s">
        <v>1425</v>
      </c>
      <c r="G433" s="5">
        <v>2105128202</v>
      </c>
      <c r="H433" s="4" t="s">
        <v>1426</v>
      </c>
      <c r="I433" s="4" t="s">
        <v>1070</v>
      </c>
      <c r="J433" s="4" t="s">
        <v>1071</v>
      </c>
      <c r="K433" s="4" t="s">
        <v>1427</v>
      </c>
      <c r="L433" s="5">
        <v>10441</v>
      </c>
    </row>
    <row r="434" spans="1:12" x14ac:dyDescent="0.25">
      <c r="A434" s="3" t="s">
        <v>1057</v>
      </c>
      <c r="B434" s="4" t="s">
        <v>1058</v>
      </c>
      <c r="C434" s="4" t="s">
        <v>14</v>
      </c>
      <c r="D434" s="4" t="s">
        <v>15</v>
      </c>
      <c r="E434" s="5" t="str">
        <f>"9050463"</f>
        <v>9050463</v>
      </c>
      <c r="F434" s="3" t="s">
        <v>1428</v>
      </c>
      <c r="G434" s="5">
        <v>2102510625</v>
      </c>
      <c r="H434" s="4" t="s">
        <v>1429</v>
      </c>
      <c r="I434" s="4" t="s">
        <v>1257</v>
      </c>
      <c r="J434" s="4" t="s">
        <v>1430</v>
      </c>
      <c r="K434" s="4" t="s">
        <v>1431</v>
      </c>
      <c r="L434" s="5">
        <v>14342</v>
      </c>
    </row>
    <row r="435" spans="1:12" x14ac:dyDescent="0.25">
      <c r="A435" s="3" t="s">
        <v>1057</v>
      </c>
      <c r="B435" s="4" t="s">
        <v>1058</v>
      </c>
      <c r="C435" s="4" t="s">
        <v>25</v>
      </c>
      <c r="D435" s="4" t="s">
        <v>26</v>
      </c>
      <c r="E435" s="5" t="str">
        <f>"9051395"</f>
        <v>9051395</v>
      </c>
      <c r="F435" s="3" t="s">
        <v>1432</v>
      </c>
      <c r="G435" s="5">
        <v>2102027240</v>
      </c>
      <c r="H435" s="4" t="s">
        <v>1433</v>
      </c>
      <c r="I435" s="4" t="s">
        <v>1070</v>
      </c>
      <c r="J435" s="4" t="s">
        <v>1105</v>
      </c>
      <c r="K435" s="4" t="s">
        <v>1434</v>
      </c>
      <c r="L435" s="5">
        <v>11143</v>
      </c>
    </row>
    <row r="436" spans="1:12" x14ac:dyDescent="0.25">
      <c r="A436" s="3" t="s">
        <v>1057</v>
      </c>
      <c r="B436" s="4" t="s">
        <v>1058</v>
      </c>
      <c r="C436" s="4" t="s">
        <v>25</v>
      </c>
      <c r="D436" s="4" t="s">
        <v>26</v>
      </c>
      <c r="E436" s="5" t="str">
        <f>"9050724"</f>
        <v>9050724</v>
      </c>
      <c r="F436" s="3" t="s">
        <v>1435</v>
      </c>
      <c r="G436" s="5">
        <v>2107519289</v>
      </c>
      <c r="H436" s="4" t="s">
        <v>1436</v>
      </c>
      <c r="I436" s="4" t="s">
        <v>1070</v>
      </c>
      <c r="J436" s="4" t="s">
        <v>1071</v>
      </c>
      <c r="K436" s="4" t="s">
        <v>1437</v>
      </c>
      <c r="L436" s="5">
        <v>11636</v>
      </c>
    </row>
    <row r="437" spans="1:12" x14ac:dyDescent="0.25">
      <c r="A437" s="3" t="s">
        <v>1057</v>
      </c>
      <c r="B437" s="4" t="s">
        <v>1058</v>
      </c>
      <c r="C437" s="4" t="s">
        <v>14</v>
      </c>
      <c r="D437" s="4" t="s">
        <v>15</v>
      </c>
      <c r="E437" s="5" t="str">
        <f>"9050451"</f>
        <v>9050451</v>
      </c>
      <c r="F437" s="3" t="s">
        <v>1438</v>
      </c>
      <c r="G437" s="5">
        <v>2105124309</v>
      </c>
      <c r="H437" s="4" t="s">
        <v>1439</v>
      </c>
      <c r="I437" s="4" t="s">
        <v>1070</v>
      </c>
      <c r="J437" s="4" t="s">
        <v>1071</v>
      </c>
      <c r="K437" s="4" t="s">
        <v>1440</v>
      </c>
      <c r="L437" s="5">
        <v>10443</v>
      </c>
    </row>
    <row r="438" spans="1:12" x14ac:dyDescent="0.25">
      <c r="A438" s="3" t="s">
        <v>1057</v>
      </c>
      <c r="B438" s="4" t="s">
        <v>1058</v>
      </c>
      <c r="C438" s="4" t="s">
        <v>14</v>
      </c>
      <c r="D438" s="4" t="s">
        <v>15</v>
      </c>
      <c r="E438" s="5" t="str">
        <f>"9050522"</f>
        <v>9050522</v>
      </c>
      <c r="F438" s="3" t="s">
        <v>1441</v>
      </c>
      <c r="G438" s="5">
        <v>2108815100</v>
      </c>
      <c r="H438" s="4" t="s">
        <v>1442</v>
      </c>
      <c r="I438" s="4" t="s">
        <v>1070</v>
      </c>
      <c r="J438" s="4" t="s">
        <v>1071</v>
      </c>
      <c r="K438" s="4" t="s">
        <v>1443</v>
      </c>
      <c r="L438" s="5">
        <v>11363</v>
      </c>
    </row>
    <row r="439" spans="1:12" x14ac:dyDescent="0.25">
      <c r="A439" s="3" t="s">
        <v>1057</v>
      </c>
      <c r="B439" s="4" t="s">
        <v>1058</v>
      </c>
      <c r="C439" s="4" t="s">
        <v>14</v>
      </c>
      <c r="D439" s="4" t="s">
        <v>15</v>
      </c>
      <c r="E439" s="5" t="str">
        <f>"9050158"</f>
        <v>9050158</v>
      </c>
      <c r="F439" s="3" t="s">
        <v>1444</v>
      </c>
      <c r="G439" s="5">
        <v>2109919550</v>
      </c>
      <c r="H439" s="4" t="s">
        <v>1445</v>
      </c>
      <c r="I439" s="4" t="s">
        <v>1131</v>
      </c>
      <c r="J439" s="4" t="s">
        <v>1132</v>
      </c>
      <c r="K439" s="4" t="s">
        <v>1446</v>
      </c>
      <c r="L439" s="5">
        <v>16345</v>
      </c>
    </row>
    <row r="440" spans="1:12" x14ac:dyDescent="0.25">
      <c r="A440" s="3" t="s">
        <v>1057</v>
      </c>
      <c r="B440" s="4" t="s">
        <v>1058</v>
      </c>
      <c r="C440" s="4" t="s">
        <v>14</v>
      </c>
      <c r="D440" s="4" t="s">
        <v>15</v>
      </c>
      <c r="E440" s="5" t="str">
        <f>"9051361"</f>
        <v>9051361</v>
      </c>
      <c r="F440" s="3" t="s">
        <v>1447</v>
      </c>
      <c r="G440" s="5">
        <v>2102910510</v>
      </c>
      <c r="H440" s="4" t="s">
        <v>1448</v>
      </c>
      <c r="I440" s="4" t="s">
        <v>1070</v>
      </c>
      <c r="J440" s="4" t="s">
        <v>1071</v>
      </c>
      <c r="K440" s="4" t="s">
        <v>1449</v>
      </c>
      <c r="L440" s="5">
        <v>11142</v>
      </c>
    </row>
    <row r="441" spans="1:12" x14ac:dyDescent="0.25">
      <c r="A441" s="3" t="s">
        <v>1057</v>
      </c>
      <c r="B441" s="4" t="s">
        <v>1058</v>
      </c>
      <c r="C441" s="4" t="s">
        <v>14</v>
      </c>
      <c r="D441" s="4" t="s">
        <v>15</v>
      </c>
      <c r="E441" s="5" t="str">
        <f>"9051091"</f>
        <v>9051091</v>
      </c>
      <c r="F441" s="3" t="s">
        <v>1450</v>
      </c>
      <c r="G441" s="5">
        <v>2108322310</v>
      </c>
      <c r="H441" s="4" t="s">
        <v>1451</v>
      </c>
      <c r="I441" s="4" t="s">
        <v>1070</v>
      </c>
      <c r="J441" s="4" t="s">
        <v>1071</v>
      </c>
      <c r="K441" s="4" t="s">
        <v>1452</v>
      </c>
      <c r="L441" s="5">
        <v>11145</v>
      </c>
    </row>
    <row r="442" spans="1:12" x14ac:dyDescent="0.25">
      <c r="A442" s="3" t="s">
        <v>1057</v>
      </c>
      <c r="B442" s="4" t="s">
        <v>1058</v>
      </c>
      <c r="C442" s="4" t="s">
        <v>14</v>
      </c>
      <c r="D442" s="4" t="s">
        <v>15</v>
      </c>
      <c r="E442" s="5" t="str">
        <f>"9051362"</f>
        <v>9051362</v>
      </c>
      <c r="F442" s="3" t="s">
        <v>1453</v>
      </c>
      <c r="G442" s="5">
        <v>2109942630</v>
      </c>
      <c r="H442" s="4" t="s">
        <v>1454</v>
      </c>
      <c r="I442" s="4" t="s">
        <v>1131</v>
      </c>
      <c r="J442" s="4" t="s">
        <v>1132</v>
      </c>
      <c r="K442" s="4" t="s">
        <v>1336</v>
      </c>
      <c r="L442" s="5">
        <v>16342</v>
      </c>
    </row>
    <row r="443" spans="1:12" x14ac:dyDescent="0.25">
      <c r="A443" s="3" t="s">
        <v>1057</v>
      </c>
      <c r="B443" s="4" t="s">
        <v>1058</v>
      </c>
      <c r="C443" s="4" t="s">
        <v>14</v>
      </c>
      <c r="D443" s="4" t="s">
        <v>15</v>
      </c>
      <c r="E443" s="5" t="str">
        <f>"9050302"</f>
        <v>9050302</v>
      </c>
      <c r="F443" s="3" t="s">
        <v>1455</v>
      </c>
      <c r="G443" s="5">
        <v>2105128675</v>
      </c>
      <c r="H443" s="4" t="s">
        <v>1456</v>
      </c>
      <c r="I443" s="4" t="s">
        <v>1070</v>
      </c>
      <c r="J443" s="4" t="s">
        <v>1071</v>
      </c>
      <c r="K443" s="4" t="s">
        <v>1457</v>
      </c>
      <c r="L443" s="5">
        <v>10443</v>
      </c>
    </row>
    <row r="444" spans="1:12" x14ac:dyDescent="0.25">
      <c r="A444" s="3" t="s">
        <v>1057</v>
      </c>
      <c r="B444" s="4" t="s">
        <v>1058</v>
      </c>
      <c r="C444" s="4" t="s">
        <v>14</v>
      </c>
      <c r="D444" s="4" t="s">
        <v>15</v>
      </c>
      <c r="E444" s="5" t="str">
        <f>"9050949"</f>
        <v>9050949</v>
      </c>
      <c r="F444" s="3" t="s">
        <v>1458</v>
      </c>
      <c r="G444" s="5">
        <v>2108317300</v>
      </c>
      <c r="H444" s="4" t="s">
        <v>1459</v>
      </c>
      <c r="I444" s="4" t="s">
        <v>1070</v>
      </c>
      <c r="J444" s="4" t="s">
        <v>1071</v>
      </c>
      <c r="K444" s="4" t="s">
        <v>1460</v>
      </c>
      <c r="L444" s="5">
        <v>10445</v>
      </c>
    </row>
    <row r="445" spans="1:12" x14ac:dyDescent="0.25">
      <c r="A445" s="3" t="s">
        <v>1057</v>
      </c>
      <c r="B445" s="4" t="s">
        <v>1058</v>
      </c>
      <c r="C445" s="4" t="s">
        <v>14</v>
      </c>
      <c r="D445" s="4" t="s">
        <v>15</v>
      </c>
      <c r="E445" s="5" t="str">
        <f>"9051326"</f>
        <v>9051326</v>
      </c>
      <c r="F445" s="3" t="s">
        <v>1461</v>
      </c>
      <c r="G445" s="5">
        <v>2107648708</v>
      </c>
      <c r="H445" s="4" t="s">
        <v>1462</v>
      </c>
      <c r="I445" s="4" t="s">
        <v>1065</v>
      </c>
      <c r="J445" s="4" t="s">
        <v>1463</v>
      </c>
      <c r="K445" s="4" t="s">
        <v>1464</v>
      </c>
      <c r="L445" s="5">
        <v>16232</v>
      </c>
    </row>
    <row r="446" spans="1:12" x14ac:dyDescent="0.25">
      <c r="A446" s="3" t="s">
        <v>1057</v>
      </c>
      <c r="B446" s="4" t="s">
        <v>1058</v>
      </c>
      <c r="C446" s="4" t="s">
        <v>14</v>
      </c>
      <c r="D446" s="4" t="s">
        <v>15</v>
      </c>
      <c r="E446" s="5" t="str">
        <f>"9051810"</f>
        <v>9051810</v>
      </c>
      <c r="F446" s="3" t="s">
        <v>1465</v>
      </c>
      <c r="G446" s="5">
        <v>2108643693</v>
      </c>
      <c r="H446" s="4" t="s">
        <v>1466</v>
      </c>
      <c r="I446" s="4" t="s">
        <v>1070</v>
      </c>
      <c r="J446" s="4" t="s">
        <v>1215</v>
      </c>
      <c r="K446" s="4" t="s">
        <v>1467</v>
      </c>
      <c r="L446" s="5">
        <v>10446</v>
      </c>
    </row>
    <row r="447" spans="1:12" x14ac:dyDescent="0.25">
      <c r="A447" s="3" t="s">
        <v>1057</v>
      </c>
      <c r="B447" s="4" t="s">
        <v>1058</v>
      </c>
      <c r="C447" s="4" t="s">
        <v>14</v>
      </c>
      <c r="D447" s="4" t="s">
        <v>15</v>
      </c>
      <c r="E447" s="5" t="str">
        <f>"9051596"</f>
        <v>9051596</v>
      </c>
      <c r="F447" s="3" t="s">
        <v>1468</v>
      </c>
      <c r="G447" s="5">
        <v>2108233848</v>
      </c>
      <c r="H447" s="4" t="s">
        <v>1469</v>
      </c>
      <c r="I447" s="4" t="s">
        <v>1070</v>
      </c>
      <c r="J447" s="4" t="s">
        <v>1071</v>
      </c>
      <c r="K447" s="4" t="s">
        <v>1470</v>
      </c>
      <c r="L447" s="5">
        <v>11362</v>
      </c>
    </row>
    <row r="448" spans="1:12" x14ac:dyDescent="0.25">
      <c r="A448" s="3" t="s">
        <v>1057</v>
      </c>
      <c r="B448" s="4" t="s">
        <v>1058</v>
      </c>
      <c r="C448" s="4" t="s">
        <v>25</v>
      </c>
      <c r="D448" s="4" t="s">
        <v>26</v>
      </c>
      <c r="E448" s="5" t="str">
        <f>"9050092"</f>
        <v>9050092</v>
      </c>
      <c r="F448" s="3" t="s">
        <v>1471</v>
      </c>
      <c r="G448" s="5">
        <v>2109216653</v>
      </c>
      <c r="H448" s="4" t="s">
        <v>1472</v>
      </c>
      <c r="I448" s="4" t="s">
        <v>1070</v>
      </c>
      <c r="J448" s="4" t="s">
        <v>1105</v>
      </c>
      <c r="K448" s="4" t="s">
        <v>1473</v>
      </c>
      <c r="L448" s="5">
        <v>11741</v>
      </c>
    </row>
    <row r="449" spans="1:12" x14ac:dyDescent="0.25">
      <c r="A449" s="3" t="s">
        <v>1057</v>
      </c>
      <c r="B449" s="4" t="s">
        <v>1058</v>
      </c>
      <c r="C449" s="4" t="s">
        <v>14</v>
      </c>
      <c r="D449" s="4" t="s">
        <v>15</v>
      </c>
      <c r="E449" s="5" t="str">
        <f>"9050948"</f>
        <v>9050948</v>
      </c>
      <c r="F449" s="3" t="s">
        <v>1474</v>
      </c>
      <c r="G449" s="5">
        <v>2102114098</v>
      </c>
      <c r="H449" s="4" t="s">
        <v>1475</v>
      </c>
      <c r="I449" s="4" t="s">
        <v>1070</v>
      </c>
      <c r="J449" s="4" t="s">
        <v>1215</v>
      </c>
      <c r="K449" s="4" t="s">
        <v>1476</v>
      </c>
      <c r="L449" s="5">
        <v>11254</v>
      </c>
    </row>
    <row r="450" spans="1:12" x14ac:dyDescent="0.25">
      <c r="A450" s="3" t="s">
        <v>1057</v>
      </c>
      <c r="B450" s="4" t="s">
        <v>1058</v>
      </c>
      <c r="C450" s="4" t="s">
        <v>25</v>
      </c>
      <c r="D450" s="4" t="s">
        <v>26</v>
      </c>
      <c r="E450" s="5" t="str">
        <f>"9050688"</f>
        <v>9050688</v>
      </c>
      <c r="F450" s="3" t="s">
        <v>1477</v>
      </c>
      <c r="G450" s="5">
        <v>2107238598</v>
      </c>
      <c r="H450" s="4" t="s">
        <v>1478</v>
      </c>
      <c r="I450" s="4" t="s">
        <v>1070</v>
      </c>
      <c r="J450" s="4" t="s">
        <v>1105</v>
      </c>
      <c r="K450" s="4" t="s">
        <v>1479</v>
      </c>
      <c r="L450" s="5">
        <v>16121</v>
      </c>
    </row>
    <row r="451" spans="1:12" x14ac:dyDescent="0.25">
      <c r="A451" s="3" t="s">
        <v>1057</v>
      </c>
      <c r="B451" s="4" t="s">
        <v>1058</v>
      </c>
      <c r="C451" s="4" t="s">
        <v>14</v>
      </c>
      <c r="D451" s="4" t="s">
        <v>15</v>
      </c>
      <c r="E451" s="5" t="str">
        <f>"9050668"</f>
        <v>9050668</v>
      </c>
      <c r="F451" s="3" t="s">
        <v>1480</v>
      </c>
      <c r="G451" s="5">
        <v>2107777879</v>
      </c>
      <c r="H451" s="4" t="s">
        <v>1481</v>
      </c>
      <c r="I451" s="4" t="s">
        <v>1061</v>
      </c>
      <c r="J451" s="4" t="s">
        <v>1061</v>
      </c>
      <c r="K451" s="4" t="s">
        <v>1482</v>
      </c>
      <c r="L451" s="5">
        <v>15772</v>
      </c>
    </row>
    <row r="452" spans="1:12" x14ac:dyDescent="0.25">
      <c r="A452" s="3" t="s">
        <v>1057</v>
      </c>
      <c r="B452" s="4" t="s">
        <v>1058</v>
      </c>
      <c r="C452" s="4" t="s">
        <v>25</v>
      </c>
      <c r="D452" s="4" t="s">
        <v>26</v>
      </c>
      <c r="E452" s="5" t="str">
        <f>"9050110"</f>
        <v>9050110</v>
      </c>
      <c r="F452" s="3" t="s">
        <v>1483</v>
      </c>
      <c r="G452" s="5">
        <v>2107652005</v>
      </c>
      <c r="H452" s="4" t="s">
        <v>1484</v>
      </c>
      <c r="I452" s="4" t="s">
        <v>1065</v>
      </c>
      <c r="J452" s="4" t="s">
        <v>1085</v>
      </c>
      <c r="K452" s="4" t="s">
        <v>1067</v>
      </c>
      <c r="L452" s="5">
        <v>16231</v>
      </c>
    </row>
    <row r="453" spans="1:12" x14ac:dyDescent="0.25">
      <c r="A453" s="3" t="s">
        <v>1057</v>
      </c>
      <c r="B453" s="4" t="s">
        <v>1058</v>
      </c>
      <c r="C453" s="4" t="s">
        <v>25</v>
      </c>
      <c r="D453" s="4" t="s">
        <v>26</v>
      </c>
      <c r="E453" s="5" t="str">
        <f>"9051023"</f>
        <v>9051023</v>
      </c>
      <c r="F453" s="3" t="s">
        <v>1485</v>
      </c>
      <c r="G453" s="5">
        <v>2102024410</v>
      </c>
      <c r="H453" s="4" t="s">
        <v>1486</v>
      </c>
      <c r="I453" s="4" t="s">
        <v>1295</v>
      </c>
      <c r="J453" s="4" t="s">
        <v>1296</v>
      </c>
      <c r="K453" s="4" t="s">
        <v>1487</v>
      </c>
      <c r="L453" s="5">
        <v>11146</v>
      </c>
    </row>
    <row r="454" spans="1:12" x14ac:dyDescent="0.25">
      <c r="A454" s="3" t="s">
        <v>1057</v>
      </c>
      <c r="B454" s="4" t="s">
        <v>1058</v>
      </c>
      <c r="C454" s="4" t="s">
        <v>14</v>
      </c>
      <c r="D454" s="4" t="s">
        <v>15</v>
      </c>
      <c r="E454" s="5" t="str">
        <f>"9050516"</f>
        <v>9050516</v>
      </c>
      <c r="F454" s="3" t="s">
        <v>1488</v>
      </c>
      <c r="G454" s="5">
        <v>2102922729</v>
      </c>
      <c r="H454" s="4" t="s">
        <v>1489</v>
      </c>
      <c r="I454" s="4" t="s">
        <v>1070</v>
      </c>
      <c r="J454" s="4" t="s">
        <v>1071</v>
      </c>
      <c r="K454" s="4" t="s">
        <v>1449</v>
      </c>
      <c r="L454" s="5">
        <v>11142</v>
      </c>
    </row>
    <row r="455" spans="1:12" x14ac:dyDescent="0.25">
      <c r="A455" s="3" t="s">
        <v>1057</v>
      </c>
      <c r="B455" s="4" t="s">
        <v>1058</v>
      </c>
      <c r="C455" s="4" t="s">
        <v>25</v>
      </c>
      <c r="D455" s="4" t="s">
        <v>26</v>
      </c>
      <c r="E455" s="5" t="str">
        <f>"9050751"</f>
        <v>9050751</v>
      </c>
      <c r="F455" s="3" t="s">
        <v>1490</v>
      </c>
      <c r="G455" s="5">
        <v>2103463663</v>
      </c>
      <c r="H455" s="4" t="s">
        <v>1491</v>
      </c>
      <c r="I455" s="4" t="s">
        <v>1070</v>
      </c>
      <c r="J455" s="4" t="s">
        <v>1105</v>
      </c>
      <c r="K455" s="4" t="s">
        <v>1492</v>
      </c>
      <c r="L455" s="5">
        <v>11851</v>
      </c>
    </row>
    <row r="456" spans="1:12" x14ac:dyDescent="0.25">
      <c r="A456" s="3" t="s">
        <v>1057</v>
      </c>
      <c r="B456" s="4" t="s">
        <v>1058</v>
      </c>
      <c r="C456" s="4" t="s">
        <v>14</v>
      </c>
      <c r="D456" s="4" t="s">
        <v>15</v>
      </c>
      <c r="E456" s="5" t="str">
        <f>"9050914"</f>
        <v>9050914</v>
      </c>
      <c r="F456" s="3" t="s">
        <v>1493</v>
      </c>
      <c r="G456" s="5">
        <v>2108319372</v>
      </c>
      <c r="H456" s="4" t="s">
        <v>1494</v>
      </c>
      <c r="I456" s="4" t="s">
        <v>1070</v>
      </c>
      <c r="J456" s="4" t="s">
        <v>1071</v>
      </c>
      <c r="K456" s="4" t="s">
        <v>1495</v>
      </c>
      <c r="L456" s="5">
        <v>10445</v>
      </c>
    </row>
    <row r="457" spans="1:12" x14ac:dyDescent="0.25">
      <c r="A457" s="3" t="s">
        <v>1057</v>
      </c>
      <c r="B457" s="4" t="s">
        <v>1058</v>
      </c>
      <c r="C457" s="4" t="s">
        <v>14</v>
      </c>
      <c r="D457" s="4" t="s">
        <v>15</v>
      </c>
      <c r="E457" s="5" t="str">
        <f>"9050129"</f>
        <v>9050129</v>
      </c>
      <c r="F457" s="3" t="s">
        <v>1496</v>
      </c>
      <c r="G457" s="5">
        <v>2107640343</v>
      </c>
      <c r="H457" s="4" t="s">
        <v>1497</v>
      </c>
      <c r="I457" s="4" t="s">
        <v>1065</v>
      </c>
      <c r="J457" s="4" t="s">
        <v>1066</v>
      </c>
      <c r="K457" s="4" t="s">
        <v>1498</v>
      </c>
      <c r="L457" s="5">
        <v>16233</v>
      </c>
    </row>
    <row r="458" spans="1:12" x14ac:dyDescent="0.25">
      <c r="A458" s="3" t="s">
        <v>1057</v>
      </c>
      <c r="B458" s="4" t="s">
        <v>1058</v>
      </c>
      <c r="C458" s="4" t="s">
        <v>25</v>
      </c>
      <c r="D458" s="4" t="s">
        <v>26</v>
      </c>
      <c r="E458" s="5" t="str">
        <f>"9051500"</f>
        <v>9051500</v>
      </c>
      <c r="F458" s="3" t="s">
        <v>1499</v>
      </c>
      <c r="G458" s="5">
        <v>2102933523</v>
      </c>
      <c r="H458" s="4" t="s">
        <v>1500</v>
      </c>
      <c r="I458" s="4" t="s">
        <v>1295</v>
      </c>
      <c r="J458" s="4" t="s">
        <v>1296</v>
      </c>
      <c r="K458" s="4" t="s">
        <v>1501</v>
      </c>
      <c r="L458" s="5">
        <v>11146</v>
      </c>
    </row>
    <row r="459" spans="1:12" x14ac:dyDescent="0.25">
      <c r="A459" s="3" t="s">
        <v>1057</v>
      </c>
      <c r="B459" s="4" t="s">
        <v>1058</v>
      </c>
      <c r="C459" s="4" t="s">
        <v>25</v>
      </c>
      <c r="D459" s="4" t="s">
        <v>26</v>
      </c>
      <c r="E459" s="5" t="str">
        <f>"9050327"</f>
        <v>9050327</v>
      </c>
      <c r="F459" s="3" t="s">
        <v>1502</v>
      </c>
      <c r="G459" s="5">
        <v>2103466114</v>
      </c>
      <c r="H459" s="4" t="s">
        <v>1503</v>
      </c>
      <c r="I459" s="4" t="s">
        <v>1070</v>
      </c>
      <c r="J459" s="4" t="s">
        <v>1105</v>
      </c>
      <c r="K459" s="4" t="s">
        <v>1492</v>
      </c>
      <c r="L459" s="5">
        <v>11851</v>
      </c>
    </row>
    <row r="460" spans="1:12" x14ac:dyDescent="0.25">
      <c r="A460" s="3" t="s">
        <v>1057</v>
      </c>
      <c r="B460" s="4" t="s">
        <v>1058</v>
      </c>
      <c r="C460" s="4" t="s">
        <v>25</v>
      </c>
      <c r="D460" s="4" t="s">
        <v>26</v>
      </c>
      <c r="E460" s="5" t="str">
        <f>"9051201"</f>
        <v>9051201</v>
      </c>
      <c r="F460" s="3" t="s">
        <v>1504</v>
      </c>
      <c r="G460" s="5">
        <v>2102910120</v>
      </c>
      <c r="H460" s="4" t="s">
        <v>1505</v>
      </c>
      <c r="I460" s="4" t="s">
        <v>1295</v>
      </c>
      <c r="J460" s="4" t="s">
        <v>1296</v>
      </c>
      <c r="K460" s="4" t="s">
        <v>1506</v>
      </c>
      <c r="L460" s="5">
        <v>11147</v>
      </c>
    </row>
    <row r="461" spans="1:12" x14ac:dyDescent="0.25">
      <c r="A461" s="3" t="s">
        <v>1057</v>
      </c>
      <c r="B461" s="4" t="s">
        <v>1058</v>
      </c>
      <c r="C461" s="4" t="s">
        <v>25</v>
      </c>
      <c r="D461" s="4" t="s">
        <v>26</v>
      </c>
      <c r="E461" s="5" t="str">
        <f>"9051190"</f>
        <v>9051190</v>
      </c>
      <c r="F461" s="3" t="s">
        <v>1507</v>
      </c>
      <c r="G461" s="5">
        <v>2107652005</v>
      </c>
      <c r="H461" s="4" t="s">
        <v>1508</v>
      </c>
      <c r="I461" s="4" t="s">
        <v>1065</v>
      </c>
      <c r="J461" s="4" t="s">
        <v>1085</v>
      </c>
      <c r="K461" s="4" t="s">
        <v>1067</v>
      </c>
      <c r="L461" s="5">
        <v>16231</v>
      </c>
    </row>
    <row r="462" spans="1:12" x14ac:dyDescent="0.25">
      <c r="A462" s="3" t="s">
        <v>1057</v>
      </c>
      <c r="B462" s="4" t="s">
        <v>1058</v>
      </c>
      <c r="C462" s="4" t="s">
        <v>25</v>
      </c>
      <c r="D462" s="4" t="s">
        <v>26</v>
      </c>
      <c r="E462" s="5" t="str">
        <f>"9051816"</f>
        <v>9051816</v>
      </c>
      <c r="F462" s="3" t="s">
        <v>1509</v>
      </c>
      <c r="G462" s="5">
        <v>2105129581</v>
      </c>
      <c r="H462" s="4" t="s">
        <v>1510</v>
      </c>
      <c r="I462" s="4" t="s">
        <v>1070</v>
      </c>
      <c r="J462" s="4" t="s">
        <v>1105</v>
      </c>
      <c r="K462" s="4" t="s">
        <v>1427</v>
      </c>
      <c r="L462" s="5">
        <v>10441</v>
      </c>
    </row>
    <row r="463" spans="1:12" x14ac:dyDescent="0.25">
      <c r="A463" s="3" t="s">
        <v>1057</v>
      </c>
      <c r="B463" s="4" t="s">
        <v>1058</v>
      </c>
      <c r="C463" s="4" t="s">
        <v>25</v>
      </c>
      <c r="D463" s="4" t="s">
        <v>26</v>
      </c>
      <c r="E463" s="5" t="str">
        <f>"9051575"</f>
        <v>9051575</v>
      </c>
      <c r="F463" s="3" t="s">
        <v>1511</v>
      </c>
      <c r="G463" s="5">
        <v>2102137494</v>
      </c>
      <c r="H463" s="4" t="s">
        <v>1512</v>
      </c>
      <c r="I463" s="4" t="s">
        <v>1295</v>
      </c>
      <c r="J463" s="4" t="s">
        <v>1296</v>
      </c>
      <c r="K463" s="4" t="s">
        <v>1513</v>
      </c>
      <c r="L463" s="5">
        <v>11147</v>
      </c>
    </row>
    <row r="464" spans="1:12" x14ac:dyDescent="0.25">
      <c r="A464" s="3" t="s">
        <v>1057</v>
      </c>
      <c r="B464" s="4" t="s">
        <v>1058</v>
      </c>
      <c r="C464" s="4" t="s">
        <v>25</v>
      </c>
      <c r="D464" s="4" t="s">
        <v>26</v>
      </c>
      <c r="E464" s="5" t="str">
        <f>"9050536"</f>
        <v>9050536</v>
      </c>
      <c r="F464" s="3" t="s">
        <v>1514</v>
      </c>
      <c r="G464" s="5">
        <v>2102010331</v>
      </c>
      <c r="H464" s="4" t="s">
        <v>1515</v>
      </c>
      <c r="I464" s="4" t="s">
        <v>1295</v>
      </c>
      <c r="J464" s="4" t="s">
        <v>1296</v>
      </c>
      <c r="K464" s="4" t="s">
        <v>1516</v>
      </c>
      <c r="L464" s="5">
        <v>11146</v>
      </c>
    </row>
    <row r="465" spans="1:12" x14ac:dyDescent="0.25">
      <c r="A465" s="3" t="s">
        <v>1057</v>
      </c>
      <c r="B465" s="4" t="s">
        <v>1058</v>
      </c>
      <c r="C465" s="4" t="s">
        <v>25</v>
      </c>
      <c r="D465" s="4" t="s">
        <v>26</v>
      </c>
      <c r="E465" s="5" t="str">
        <f>"9051286"</f>
        <v>9051286</v>
      </c>
      <c r="F465" s="3" t="s">
        <v>1517</v>
      </c>
      <c r="G465" s="5">
        <v>2105146063</v>
      </c>
      <c r="H465" s="4" t="s">
        <v>1518</v>
      </c>
      <c r="I465" s="4" t="s">
        <v>1070</v>
      </c>
      <c r="J465" s="4" t="s">
        <v>1105</v>
      </c>
      <c r="K465" s="4" t="s">
        <v>1519</v>
      </c>
      <c r="L465" s="5">
        <v>10443</v>
      </c>
    </row>
    <row r="466" spans="1:12" x14ac:dyDescent="0.25">
      <c r="A466" s="3" t="s">
        <v>1057</v>
      </c>
      <c r="B466" s="4" t="s">
        <v>1058</v>
      </c>
      <c r="C466" s="4" t="s">
        <v>25</v>
      </c>
      <c r="D466" s="4" t="s">
        <v>26</v>
      </c>
      <c r="E466" s="5" t="str">
        <f>"9050537"</f>
        <v>9050537</v>
      </c>
      <c r="F466" s="3" t="s">
        <v>1520</v>
      </c>
      <c r="G466" s="5">
        <v>2102924276</v>
      </c>
      <c r="H466" s="4" t="s">
        <v>1521</v>
      </c>
      <c r="I466" s="4" t="s">
        <v>1295</v>
      </c>
      <c r="J466" s="4" t="s">
        <v>1296</v>
      </c>
      <c r="K466" s="4" t="s">
        <v>1522</v>
      </c>
      <c r="L466" s="5">
        <v>11147</v>
      </c>
    </row>
    <row r="467" spans="1:12" x14ac:dyDescent="0.25">
      <c r="A467" s="3" t="s">
        <v>1057</v>
      </c>
      <c r="B467" s="4" t="s">
        <v>1058</v>
      </c>
      <c r="C467" s="4" t="s">
        <v>14</v>
      </c>
      <c r="D467" s="4" t="s">
        <v>15</v>
      </c>
      <c r="E467" s="5" t="str">
        <f>"9050540"</f>
        <v>9050540</v>
      </c>
      <c r="F467" s="3" t="s">
        <v>1523</v>
      </c>
      <c r="G467" s="5">
        <v>2102925097</v>
      </c>
      <c r="H467" s="4" t="s">
        <v>1524</v>
      </c>
      <c r="I467" s="4" t="s">
        <v>1295</v>
      </c>
      <c r="J467" s="4" t="s">
        <v>1296</v>
      </c>
      <c r="K467" s="4" t="s">
        <v>1525</v>
      </c>
      <c r="L467" s="5">
        <v>11147</v>
      </c>
    </row>
    <row r="468" spans="1:12" x14ac:dyDescent="0.25">
      <c r="A468" s="3" t="s">
        <v>1057</v>
      </c>
      <c r="B468" s="4" t="s">
        <v>1058</v>
      </c>
      <c r="C468" s="4" t="s">
        <v>25</v>
      </c>
      <c r="D468" s="4" t="s">
        <v>26</v>
      </c>
      <c r="E468" s="5" t="str">
        <f>"9051549"</f>
        <v>9051549</v>
      </c>
      <c r="F468" s="3" t="s">
        <v>1526</v>
      </c>
      <c r="G468" s="5">
        <v>2107667446</v>
      </c>
      <c r="H468" s="4" t="s">
        <v>1527</v>
      </c>
      <c r="I468" s="4" t="s">
        <v>1065</v>
      </c>
      <c r="J468" s="4" t="s">
        <v>1085</v>
      </c>
      <c r="K468" s="4" t="s">
        <v>1086</v>
      </c>
      <c r="L468" s="5">
        <v>16231</v>
      </c>
    </row>
    <row r="469" spans="1:12" x14ac:dyDescent="0.25">
      <c r="A469" s="3" t="s">
        <v>1057</v>
      </c>
      <c r="B469" s="4" t="s">
        <v>1058</v>
      </c>
      <c r="C469" s="4" t="s">
        <v>25</v>
      </c>
      <c r="D469" s="4" t="s">
        <v>26</v>
      </c>
      <c r="E469" s="5" t="str">
        <f>"9050521"</f>
        <v>9050521</v>
      </c>
      <c r="F469" s="3" t="s">
        <v>1528</v>
      </c>
      <c r="G469" s="5">
        <v>2102231780</v>
      </c>
      <c r="H469" s="4" t="s">
        <v>1529</v>
      </c>
      <c r="I469" s="4" t="s">
        <v>1070</v>
      </c>
      <c r="J469" s="4" t="s">
        <v>1105</v>
      </c>
      <c r="K469" s="4" t="s">
        <v>1530</v>
      </c>
      <c r="L469" s="5">
        <v>11141</v>
      </c>
    </row>
    <row r="470" spans="1:12" x14ac:dyDescent="0.25">
      <c r="A470" s="3" t="s">
        <v>1057</v>
      </c>
      <c r="B470" s="4" t="s">
        <v>1058</v>
      </c>
      <c r="C470" s="4" t="s">
        <v>25</v>
      </c>
      <c r="D470" s="4" t="s">
        <v>26</v>
      </c>
      <c r="E470" s="5" t="str">
        <f>"9051623"</f>
        <v>9051623</v>
      </c>
      <c r="F470" s="3" t="s">
        <v>1531</v>
      </c>
      <c r="G470" s="5">
        <v>2107707531</v>
      </c>
      <c r="H470" s="4" t="s">
        <v>1532</v>
      </c>
      <c r="I470" s="4" t="s">
        <v>1061</v>
      </c>
      <c r="J470" s="4" t="s">
        <v>1061</v>
      </c>
      <c r="K470" s="4" t="s">
        <v>1533</v>
      </c>
      <c r="L470" s="5">
        <v>15772</v>
      </c>
    </row>
    <row r="471" spans="1:12" x14ac:dyDescent="0.25">
      <c r="A471" s="3" t="s">
        <v>1057</v>
      </c>
      <c r="B471" s="4" t="s">
        <v>1058</v>
      </c>
      <c r="C471" s="4" t="s">
        <v>25</v>
      </c>
      <c r="D471" s="4" t="s">
        <v>26</v>
      </c>
      <c r="E471" s="5" t="str">
        <f>"9050890"</f>
        <v>9050890</v>
      </c>
      <c r="F471" s="3" t="s">
        <v>1534</v>
      </c>
      <c r="G471" s="5">
        <v>2109935923</v>
      </c>
      <c r="H471" s="4" t="s">
        <v>1535</v>
      </c>
      <c r="I471" s="4" t="s">
        <v>1131</v>
      </c>
      <c r="J471" s="4" t="s">
        <v>1136</v>
      </c>
      <c r="K471" s="4" t="s">
        <v>1212</v>
      </c>
      <c r="L471" s="5">
        <v>16343</v>
      </c>
    </row>
    <row r="472" spans="1:12" x14ac:dyDescent="0.25">
      <c r="A472" s="3" t="s">
        <v>1057</v>
      </c>
      <c r="B472" s="4" t="s">
        <v>1058</v>
      </c>
      <c r="C472" s="4" t="s">
        <v>25</v>
      </c>
      <c r="D472" s="4" t="s">
        <v>26</v>
      </c>
      <c r="E472" s="5" t="str">
        <f>"9050785"</f>
        <v>9050785</v>
      </c>
      <c r="F472" s="3" t="s">
        <v>1536</v>
      </c>
      <c r="G472" s="5">
        <v>2102236300</v>
      </c>
      <c r="H472" s="4" t="s">
        <v>1537</v>
      </c>
      <c r="I472" s="4" t="s">
        <v>1070</v>
      </c>
      <c r="J472" s="4" t="s">
        <v>1105</v>
      </c>
      <c r="K472" s="4" t="s">
        <v>1379</v>
      </c>
      <c r="L472" s="5">
        <v>11255</v>
      </c>
    </row>
    <row r="473" spans="1:12" x14ac:dyDescent="0.25">
      <c r="A473" s="3" t="s">
        <v>1057</v>
      </c>
      <c r="B473" s="4" t="s">
        <v>1058</v>
      </c>
      <c r="C473" s="4" t="s">
        <v>25</v>
      </c>
      <c r="D473" s="4" t="s">
        <v>26</v>
      </c>
      <c r="E473" s="5" t="str">
        <f>"9050530"</f>
        <v>9050530</v>
      </c>
      <c r="F473" s="3" t="s">
        <v>1538</v>
      </c>
      <c r="G473" s="5">
        <v>2108654392</v>
      </c>
      <c r="H473" s="4" t="s">
        <v>1539</v>
      </c>
      <c r="I473" s="4" t="s">
        <v>1070</v>
      </c>
      <c r="J473" s="4" t="s">
        <v>1071</v>
      </c>
      <c r="K473" s="4" t="s">
        <v>1540</v>
      </c>
      <c r="L473" s="5">
        <v>11364</v>
      </c>
    </row>
    <row r="474" spans="1:12" x14ac:dyDescent="0.25">
      <c r="A474" s="3" t="s">
        <v>1057</v>
      </c>
      <c r="B474" s="4" t="s">
        <v>1058</v>
      </c>
      <c r="C474" s="4" t="s">
        <v>25</v>
      </c>
      <c r="D474" s="4" t="s">
        <v>26</v>
      </c>
      <c r="E474" s="5" t="str">
        <f>"9050774"</f>
        <v>9050774</v>
      </c>
      <c r="F474" s="3" t="s">
        <v>1541</v>
      </c>
      <c r="G474" s="5">
        <v>2102526223</v>
      </c>
      <c r="H474" s="4" t="s">
        <v>1542</v>
      </c>
      <c r="I474" s="4" t="s">
        <v>1257</v>
      </c>
      <c r="J474" s="4" t="s">
        <v>1543</v>
      </c>
      <c r="K474" s="4" t="s">
        <v>1544</v>
      </c>
      <c r="L474" s="5">
        <v>14341</v>
      </c>
    </row>
    <row r="475" spans="1:12" ht="30" x14ac:dyDescent="0.25">
      <c r="A475" s="3" t="s">
        <v>1057</v>
      </c>
      <c r="B475" s="4" t="s">
        <v>1058</v>
      </c>
      <c r="C475" s="4" t="s">
        <v>14</v>
      </c>
      <c r="D475" s="4" t="s">
        <v>452</v>
      </c>
      <c r="E475" s="5" t="str">
        <f>"9050659"</f>
        <v>9050659</v>
      </c>
      <c r="F475" s="3" t="s">
        <v>1545</v>
      </c>
      <c r="G475" s="5">
        <v>2103610527</v>
      </c>
      <c r="H475" s="4" t="s">
        <v>1546</v>
      </c>
      <c r="I475" s="4" t="s">
        <v>1070</v>
      </c>
      <c r="J475" s="4" t="s">
        <v>1215</v>
      </c>
      <c r="K475" s="4" t="s">
        <v>1547</v>
      </c>
      <c r="L475" s="5">
        <v>10673</v>
      </c>
    </row>
    <row r="476" spans="1:12" x14ac:dyDescent="0.25">
      <c r="A476" s="3" t="s">
        <v>1057</v>
      </c>
      <c r="B476" s="4" t="s">
        <v>1058</v>
      </c>
      <c r="C476" s="4" t="s">
        <v>25</v>
      </c>
      <c r="D476" s="4" t="s">
        <v>26</v>
      </c>
      <c r="E476" s="5" t="str">
        <f>"9051566"</f>
        <v>9051566</v>
      </c>
      <c r="F476" s="3" t="s">
        <v>1548</v>
      </c>
      <c r="G476" s="5">
        <v>2105125024</v>
      </c>
      <c r="H476" s="4" t="s">
        <v>1549</v>
      </c>
      <c r="I476" s="4" t="s">
        <v>1070</v>
      </c>
      <c r="J476" s="4" t="s">
        <v>1105</v>
      </c>
      <c r="K476" s="4" t="s">
        <v>1196</v>
      </c>
      <c r="L476" s="5">
        <v>10444</v>
      </c>
    </row>
    <row r="477" spans="1:12" x14ac:dyDescent="0.25">
      <c r="A477" s="3" t="s">
        <v>1057</v>
      </c>
      <c r="B477" s="4" t="s">
        <v>1058</v>
      </c>
      <c r="C477" s="4" t="s">
        <v>14</v>
      </c>
      <c r="D477" s="4" t="s">
        <v>15</v>
      </c>
      <c r="E477" s="5" t="str">
        <f>"9050444"</f>
        <v>9050444</v>
      </c>
      <c r="F477" s="3" t="s">
        <v>1550</v>
      </c>
      <c r="G477" s="5">
        <v>2108316411</v>
      </c>
      <c r="H477" s="4" t="s">
        <v>1551</v>
      </c>
      <c r="I477" s="4" t="s">
        <v>1070</v>
      </c>
      <c r="J477" s="4" t="s">
        <v>1339</v>
      </c>
      <c r="K477" s="4" t="s">
        <v>1552</v>
      </c>
      <c r="L477" s="5">
        <v>11145</v>
      </c>
    </row>
    <row r="478" spans="1:12" x14ac:dyDescent="0.25">
      <c r="A478" s="3" t="s">
        <v>1057</v>
      </c>
      <c r="B478" s="4" t="s">
        <v>1058</v>
      </c>
      <c r="C478" s="4" t="s">
        <v>25</v>
      </c>
      <c r="D478" s="4" t="s">
        <v>26</v>
      </c>
      <c r="E478" s="5" t="str">
        <f>"9050695"</f>
        <v>9050695</v>
      </c>
      <c r="F478" s="3" t="s">
        <v>1553</v>
      </c>
      <c r="G478" s="5">
        <v>2106925668</v>
      </c>
      <c r="H478" s="4" t="s">
        <v>1554</v>
      </c>
      <c r="I478" s="4" t="s">
        <v>1070</v>
      </c>
      <c r="J478" s="4" t="s">
        <v>1105</v>
      </c>
      <c r="K478" s="4" t="s">
        <v>1555</v>
      </c>
      <c r="L478" s="5">
        <v>11524</v>
      </c>
    </row>
    <row r="479" spans="1:12" x14ac:dyDescent="0.25">
      <c r="A479" s="3" t="s">
        <v>1057</v>
      </c>
      <c r="B479" s="4" t="s">
        <v>1058</v>
      </c>
      <c r="C479" s="4" t="s">
        <v>14</v>
      </c>
      <c r="D479" s="4" t="s">
        <v>15</v>
      </c>
      <c r="E479" s="5" t="str">
        <f>"9051814"</f>
        <v>9051814</v>
      </c>
      <c r="F479" s="3" t="s">
        <v>1556</v>
      </c>
      <c r="G479" s="5">
        <v>2107224873</v>
      </c>
      <c r="H479" s="4" t="s">
        <v>1557</v>
      </c>
      <c r="I479" s="4" t="s">
        <v>1075</v>
      </c>
      <c r="J479" s="4" t="s">
        <v>1202</v>
      </c>
      <c r="K479" s="4" t="s">
        <v>1382</v>
      </c>
      <c r="L479" s="5">
        <v>16122</v>
      </c>
    </row>
    <row r="480" spans="1:12" x14ac:dyDescent="0.25">
      <c r="A480" s="3" t="s">
        <v>1057</v>
      </c>
      <c r="B480" s="4" t="s">
        <v>1058</v>
      </c>
      <c r="C480" s="4" t="s">
        <v>25</v>
      </c>
      <c r="D480" s="4" t="s">
        <v>26</v>
      </c>
      <c r="E480" s="5" t="str">
        <f>"9051728"</f>
        <v>9051728</v>
      </c>
      <c r="F480" s="3" t="s">
        <v>1558</v>
      </c>
      <c r="G480" s="5">
        <v>2108620532</v>
      </c>
      <c r="H480" s="4" t="s">
        <v>1559</v>
      </c>
      <c r="I480" s="4" t="s">
        <v>1070</v>
      </c>
      <c r="J480" s="4" t="s">
        <v>1105</v>
      </c>
      <c r="K480" s="4" t="s">
        <v>1560</v>
      </c>
      <c r="L480" s="5">
        <v>10446</v>
      </c>
    </row>
    <row r="481" spans="1:12" x14ac:dyDescent="0.25">
      <c r="A481" s="3" t="s">
        <v>1057</v>
      </c>
      <c r="B481" s="4" t="s">
        <v>1058</v>
      </c>
      <c r="C481" s="4" t="s">
        <v>25</v>
      </c>
      <c r="D481" s="4" t="s">
        <v>26</v>
      </c>
      <c r="E481" s="5" t="str">
        <f>"9050782"</f>
        <v>9050782</v>
      </c>
      <c r="F481" s="3" t="s">
        <v>1561</v>
      </c>
      <c r="G481" s="5">
        <v>2106430175</v>
      </c>
      <c r="H481" s="4" t="s">
        <v>1562</v>
      </c>
      <c r="I481" s="4" t="s">
        <v>1070</v>
      </c>
      <c r="J481" s="4" t="s">
        <v>1105</v>
      </c>
      <c r="K481" s="4" t="s">
        <v>1563</v>
      </c>
      <c r="L481" s="5">
        <v>11473</v>
      </c>
    </row>
    <row r="482" spans="1:12" x14ac:dyDescent="0.25">
      <c r="A482" s="3" t="s">
        <v>1057</v>
      </c>
      <c r="B482" s="4" t="s">
        <v>1058</v>
      </c>
      <c r="C482" s="4" t="s">
        <v>14</v>
      </c>
      <c r="D482" s="4" t="s">
        <v>15</v>
      </c>
      <c r="E482" s="5" t="str">
        <f>"9050002"</f>
        <v>9050002</v>
      </c>
      <c r="F482" s="3" t="s">
        <v>1564</v>
      </c>
      <c r="G482" s="5">
        <v>2106918832</v>
      </c>
      <c r="H482" s="4" t="s">
        <v>1565</v>
      </c>
      <c r="I482" s="4" t="s">
        <v>1070</v>
      </c>
      <c r="J482" s="4" t="s">
        <v>1071</v>
      </c>
      <c r="K482" s="4" t="s">
        <v>1566</v>
      </c>
      <c r="L482" s="5">
        <v>11524</v>
      </c>
    </row>
    <row r="483" spans="1:12" x14ac:dyDescent="0.25">
      <c r="A483" s="3" t="s">
        <v>1057</v>
      </c>
      <c r="B483" s="4" t="s">
        <v>1058</v>
      </c>
      <c r="C483" s="4" t="s">
        <v>14</v>
      </c>
      <c r="D483" s="4" t="s">
        <v>15</v>
      </c>
      <c r="E483" s="5" t="str">
        <f>"9050100"</f>
        <v>9050100</v>
      </c>
      <c r="F483" s="3" t="s">
        <v>1567</v>
      </c>
      <c r="G483" s="5">
        <v>2107013113</v>
      </c>
      <c r="H483" s="4" t="s">
        <v>1568</v>
      </c>
      <c r="I483" s="4" t="s">
        <v>1070</v>
      </c>
      <c r="J483" s="4" t="s">
        <v>1215</v>
      </c>
      <c r="K483" s="4" t="s">
        <v>1437</v>
      </c>
      <c r="L483" s="5">
        <v>11636</v>
      </c>
    </row>
    <row r="484" spans="1:12" x14ac:dyDescent="0.25">
      <c r="A484" s="3" t="s">
        <v>1057</v>
      </c>
      <c r="B484" s="4" t="s">
        <v>1058</v>
      </c>
      <c r="C484" s="4" t="s">
        <v>25</v>
      </c>
      <c r="D484" s="4" t="s">
        <v>26</v>
      </c>
      <c r="E484" s="5" t="str">
        <f>"9050772"</f>
        <v>9050772</v>
      </c>
      <c r="F484" s="3" t="s">
        <v>1569</v>
      </c>
      <c r="G484" s="5">
        <v>2108326069</v>
      </c>
      <c r="H484" s="4" t="s">
        <v>1570</v>
      </c>
      <c r="I484" s="4" t="s">
        <v>1070</v>
      </c>
      <c r="J484" s="4" t="s">
        <v>1105</v>
      </c>
      <c r="K484" s="4" t="s">
        <v>1460</v>
      </c>
      <c r="L484" s="5">
        <v>10445</v>
      </c>
    </row>
    <row r="485" spans="1:12" x14ac:dyDescent="0.25">
      <c r="A485" s="3" t="s">
        <v>1057</v>
      </c>
      <c r="B485" s="4" t="s">
        <v>1058</v>
      </c>
      <c r="C485" s="4" t="s">
        <v>14</v>
      </c>
      <c r="D485" s="4" t="s">
        <v>15</v>
      </c>
      <c r="E485" s="5" t="str">
        <f>"9051108"</f>
        <v>9051108</v>
      </c>
      <c r="F485" s="3" t="s">
        <v>1571</v>
      </c>
      <c r="G485" s="5">
        <v>2102020088</v>
      </c>
      <c r="H485" s="4" t="s">
        <v>1572</v>
      </c>
      <c r="I485" s="4" t="s">
        <v>1070</v>
      </c>
      <c r="J485" s="4" t="s">
        <v>1071</v>
      </c>
      <c r="K485" s="4" t="s">
        <v>1573</v>
      </c>
      <c r="L485" s="5">
        <v>11141</v>
      </c>
    </row>
    <row r="486" spans="1:12" x14ac:dyDescent="0.25">
      <c r="A486" s="3" t="s">
        <v>1057</v>
      </c>
      <c r="B486" s="4" t="s">
        <v>1058</v>
      </c>
      <c r="C486" s="4" t="s">
        <v>25</v>
      </c>
      <c r="D486" s="4" t="s">
        <v>26</v>
      </c>
      <c r="E486" s="5" t="str">
        <f>"9051187"</f>
        <v>9051187</v>
      </c>
      <c r="F486" s="3" t="s">
        <v>1574</v>
      </c>
      <c r="G486" s="5">
        <v>2108651935</v>
      </c>
      <c r="H486" s="4" t="s">
        <v>1575</v>
      </c>
      <c r="I486" s="4" t="s">
        <v>1070</v>
      </c>
      <c r="J486" s="4" t="s">
        <v>1105</v>
      </c>
      <c r="K486" s="4" t="s">
        <v>1576</v>
      </c>
      <c r="L486" s="5">
        <v>10446</v>
      </c>
    </row>
    <row r="487" spans="1:12" x14ac:dyDescent="0.25">
      <c r="A487" s="3" t="s">
        <v>1057</v>
      </c>
      <c r="B487" s="4" t="s">
        <v>1058</v>
      </c>
      <c r="C487" s="4" t="s">
        <v>25</v>
      </c>
      <c r="D487" s="4" t="s">
        <v>26</v>
      </c>
      <c r="E487" s="5" t="str">
        <f>"9051188"</f>
        <v>9051188</v>
      </c>
      <c r="F487" s="3" t="s">
        <v>1577</v>
      </c>
      <c r="G487" s="5">
        <v>2108210958</v>
      </c>
      <c r="H487" s="4" t="s">
        <v>1578</v>
      </c>
      <c r="I487" s="4" t="s">
        <v>1070</v>
      </c>
      <c r="J487" s="4" t="s">
        <v>1105</v>
      </c>
      <c r="K487" s="4" t="s">
        <v>1579</v>
      </c>
      <c r="L487" s="5">
        <v>10446</v>
      </c>
    </row>
    <row r="488" spans="1:12" x14ac:dyDescent="0.25">
      <c r="A488" s="3" t="s">
        <v>1057</v>
      </c>
      <c r="B488" s="4" t="s">
        <v>1058</v>
      </c>
      <c r="C488" s="4" t="s">
        <v>25</v>
      </c>
      <c r="D488" s="4" t="s">
        <v>26</v>
      </c>
      <c r="E488" s="5" t="str">
        <f>"9051189"</f>
        <v>9051189</v>
      </c>
      <c r="F488" s="3" t="s">
        <v>1580</v>
      </c>
      <c r="G488" s="5">
        <v>2131301783</v>
      </c>
      <c r="H488" s="4" t="s">
        <v>1581</v>
      </c>
      <c r="I488" s="4" t="s">
        <v>1070</v>
      </c>
      <c r="J488" s="4" t="s">
        <v>1105</v>
      </c>
      <c r="K488" s="4" t="s">
        <v>1582</v>
      </c>
      <c r="L488" s="5">
        <v>11253</v>
      </c>
    </row>
    <row r="489" spans="1:12" x14ac:dyDescent="0.25">
      <c r="A489" s="3" t="s">
        <v>1057</v>
      </c>
      <c r="B489" s="4" t="s">
        <v>1058</v>
      </c>
      <c r="C489" s="4" t="s">
        <v>25</v>
      </c>
      <c r="D489" s="4" t="s">
        <v>26</v>
      </c>
      <c r="E489" s="5" t="str">
        <f>"9051192"</f>
        <v>9051192</v>
      </c>
      <c r="F489" s="3" t="s">
        <v>1583</v>
      </c>
      <c r="G489" s="5">
        <v>2107647020</v>
      </c>
      <c r="H489" s="4" t="s">
        <v>1584</v>
      </c>
      <c r="I489" s="4" t="s">
        <v>1065</v>
      </c>
      <c r="J489" s="4" t="s">
        <v>1085</v>
      </c>
      <c r="K489" s="4" t="s">
        <v>1585</v>
      </c>
      <c r="L489" s="5">
        <v>16233</v>
      </c>
    </row>
    <row r="490" spans="1:12" x14ac:dyDescent="0.25">
      <c r="A490" s="3" t="s">
        <v>1057</v>
      </c>
      <c r="B490" s="4" t="s">
        <v>1058</v>
      </c>
      <c r="C490" s="4" t="s">
        <v>25</v>
      </c>
      <c r="D490" s="4" t="s">
        <v>26</v>
      </c>
      <c r="E490" s="5" t="str">
        <f>"9050752"</f>
        <v>9050752</v>
      </c>
      <c r="F490" s="3" t="s">
        <v>1586</v>
      </c>
      <c r="G490" s="5">
        <v>2103473766</v>
      </c>
      <c r="H490" s="4" t="s">
        <v>1587</v>
      </c>
      <c r="I490" s="4" t="s">
        <v>1070</v>
      </c>
      <c r="J490" s="4" t="s">
        <v>1105</v>
      </c>
      <c r="K490" s="4" t="s">
        <v>1588</v>
      </c>
      <c r="L490" s="5">
        <v>11852</v>
      </c>
    </row>
    <row r="491" spans="1:12" x14ac:dyDescent="0.25">
      <c r="A491" s="3" t="s">
        <v>1057</v>
      </c>
      <c r="B491" s="4" t="s">
        <v>1058</v>
      </c>
      <c r="C491" s="4" t="s">
        <v>14</v>
      </c>
      <c r="D491" s="4" t="s">
        <v>15</v>
      </c>
      <c r="E491" s="5" t="str">
        <f>"9051089"</f>
        <v>9051089</v>
      </c>
      <c r="F491" s="3" t="s">
        <v>1589</v>
      </c>
      <c r="G491" s="5">
        <v>2105148130</v>
      </c>
      <c r="H491" s="4" t="s">
        <v>1590</v>
      </c>
      <c r="I491" s="4" t="s">
        <v>1070</v>
      </c>
      <c r="J491" s="4" t="s">
        <v>1071</v>
      </c>
      <c r="K491" s="4" t="s">
        <v>1591</v>
      </c>
      <c r="L491" s="5">
        <v>10443</v>
      </c>
    </row>
    <row r="492" spans="1:12" x14ac:dyDescent="0.25">
      <c r="A492" s="3" t="s">
        <v>1057</v>
      </c>
      <c r="B492" s="4" t="s">
        <v>1058</v>
      </c>
      <c r="C492" s="4" t="s">
        <v>25</v>
      </c>
      <c r="D492" s="4" t="s">
        <v>26</v>
      </c>
      <c r="E492" s="5" t="str">
        <f>"9051184"</f>
        <v>9051184</v>
      </c>
      <c r="F492" s="3" t="s">
        <v>1592</v>
      </c>
      <c r="G492" s="5">
        <v>2109216610</v>
      </c>
      <c r="H492" s="4" t="s">
        <v>1593</v>
      </c>
      <c r="I492" s="4" t="s">
        <v>1070</v>
      </c>
      <c r="J492" s="4" t="s">
        <v>1105</v>
      </c>
      <c r="K492" s="4" t="s">
        <v>1594</v>
      </c>
      <c r="L492" s="5">
        <v>11741</v>
      </c>
    </row>
    <row r="493" spans="1:12" x14ac:dyDescent="0.25">
      <c r="A493" s="3" t="s">
        <v>1057</v>
      </c>
      <c r="B493" s="4" t="s">
        <v>1058</v>
      </c>
      <c r="C493" s="4" t="s">
        <v>25</v>
      </c>
      <c r="D493" s="4" t="s">
        <v>26</v>
      </c>
      <c r="E493" s="5" t="str">
        <f>"9050750"</f>
        <v>9050750</v>
      </c>
      <c r="F493" s="3" t="s">
        <v>1595</v>
      </c>
      <c r="G493" s="5">
        <v>2103477341</v>
      </c>
      <c r="H493" s="4" t="s">
        <v>1596</v>
      </c>
      <c r="I493" s="4" t="s">
        <v>1070</v>
      </c>
      <c r="J493" s="4" t="s">
        <v>1105</v>
      </c>
      <c r="K493" s="4" t="s">
        <v>1597</v>
      </c>
      <c r="L493" s="5">
        <v>11851</v>
      </c>
    </row>
    <row r="494" spans="1:12" x14ac:dyDescent="0.25">
      <c r="A494" s="3" t="s">
        <v>1057</v>
      </c>
      <c r="B494" s="4" t="s">
        <v>1058</v>
      </c>
      <c r="C494" s="4" t="s">
        <v>25</v>
      </c>
      <c r="D494" s="4" t="s">
        <v>26</v>
      </c>
      <c r="E494" s="5" t="str">
        <f>"9051382"</f>
        <v>9051382</v>
      </c>
      <c r="F494" s="3" t="s">
        <v>1598</v>
      </c>
      <c r="G494" s="5">
        <v>2108614424</v>
      </c>
      <c r="H494" s="4" t="s">
        <v>1599</v>
      </c>
      <c r="I494" s="4" t="s">
        <v>1070</v>
      </c>
      <c r="J494" s="4" t="s">
        <v>1105</v>
      </c>
      <c r="K494" s="4" t="s">
        <v>1600</v>
      </c>
      <c r="L494" s="5">
        <v>11253</v>
      </c>
    </row>
    <row r="495" spans="1:12" x14ac:dyDescent="0.25">
      <c r="A495" s="3" t="s">
        <v>1057</v>
      </c>
      <c r="B495" s="4" t="s">
        <v>1058</v>
      </c>
      <c r="C495" s="4" t="s">
        <v>25</v>
      </c>
      <c r="D495" s="4" t="s">
        <v>26</v>
      </c>
      <c r="E495" s="5" t="str">
        <f>"9051567"</f>
        <v>9051567</v>
      </c>
      <c r="F495" s="3" t="s">
        <v>1601</v>
      </c>
      <c r="G495" s="5">
        <v>2108319552</v>
      </c>
      <c r="H495" s="4" t="s">
        <v>1602</v>
      </c>
      <c r="I495" s="4" t="s">
        <v>1070</v>
      </c>
      <c r="J495" s="4" t="s">
        <v>1105</v>
      </c>
      <c r="K495" s="4" t="s">
        <v>1603</v>
      </c>
      <c r="L495" s="5">
        <v>10445</v>
      </c>
    </row>
    <row r="496" spans="1:12" x14ac:dyDescent="0.25">
      <c r="A496" s="3" t="s">
        <v>1057</v>
      </c>
      <c r="B496" s="4" t="s">
        <v>1058</v>
      </c>
      <c r="C496" s="4" t="s">
        <v>25</v>
      </c>
      <c r="D496" s="4" t="s">
        <v>26</v>
      </c>
      <c r="E496" s="5" t="str">
        <f>"9051394"</f>
        <v>9051394</v>
      </c>
      <c r="F496" s="3" t="s">
        <v>1604</v>
      </c>
      <c r="G496" s="5">
        <v>2103458944</v>
      </c>
      <c r="H496" s="4" t="s">
        <v>1605</v>
      </c>
      <c r="I496" s="4" t="s">
        <v>1070</v>
      </c>
      <c r="J496" s="4" t="s">
        <v>1105</v>
      </c>
      <c r="K496" s="4" t="s">
        <v>1606</v>
      </c>
      <c r="L496" s="5">
        <v>11853</v>
      </c>
    </row>
    <row r="497" spans="1:12" x14ac:dyDescent="0.25">
      <c r="A497" s="3" t="s">
        <v>1057</v>
      </c>
      <c r="B497" s="4" t="s">
        <v>1058</v>
      </c>
      <c r="C497" s="4" t="s">
        <v>25</v>
      </c>
      <c r="D497" s="4" t="s">
        <v>26</v>
      </c>
      <c r="E497" s="5" t="str">
        <f>"9051383"</f>
        <v>9051383</v>
      </c>
      <c r="F497" s="3" t="s">
        <v>1607</v>
      </c>
      <c r="G497" s="5">
        <v>2108610066</v>
      </c>
      <c r="H497" s="4" t="s">
        <v>1608</v>
      </c>
      <c r="I497" s="4" t="s">
        <v>1070</v>
      </c>
      <c r="J497" s="4" t="s">
        <v>1105</v>
      </c>
      <c r="K497" s="4" t="s">
        <v>1609</v>
      </c>
      <c r="L497" s="5">
        <v>10446</v>
      </c>
    </row>
    <row r="498" spans="1:12" x14ac:dyDescent="0.25">
      <c r="A498" s="3" t="s">
        <v>1057</v>
      </c>
      <c r="B498" s="4" t="s">
        <v>1058</v>
      </c>
      <c r="C498" s="4" t="s">
        <v>25</v>
      </c>
      <c r="D498" s="4" t="s">
        <v>26</v>
      </c>
      <c r="E498" s="5" t="str">
        <f>"9051387"</f>
        <v>9051387</v>
      </c>
      <c r="F498" s="3" t="s">
        <v>1610</v>
      </c>
      <c r="G498" s="5">
        <v>2108821400</v>
      </c>
      <c r="H498" s="4" t="s">
        <v>1611</v>
      </c>
      <c r="I498" s="4" t="s">
        <v>1070</v>
      </c>
      <c r="J498" s="4" t="s">
        <v>1105</v>
      </c>
      <c r="K498" s="4" t="s">
        <v>1612</v>
      </c>
      <c r="L498" s="5">
        <v>11363</v>
      </c>
    </row>
    <row r="499" spans="1:12" x14ac:dyDescent="0.25">
      <c r="A499" s="3" t="s">
        <v>1057</v>
      </c>
      <c r="B499" s="4" t="s">
        <v>1058</v>
      </c>
      <c r="C499" s="4" t="s">
        <v>25</v>
      </c>
      <c r="D499" s="4" t="s">
        <v>26</v>
      </c>
      <c r="E499" s="5" t="str">
        <f>"9050753"</f>
        <v>9050753</v>
      </c>
      <c r="F499" s="3" t="s">
        <v>1613</v>
      </c>
      <c r="G499" s="5">
        <v>2103425004</v>
      </c>
      <c r="H499" s="4" t="s">
        <v>1614</v>
      </c>
      <c r="I499" s="4" t="s">
        <v>1070</v>
      </c>
      <c r="J499" s="4" t="s">
        <v>1105</v>
      </c>
      <c r="K499" s="4" t="s">
        <v>1615</v>
      </c>
      <c r="L499" s="5">
        <v>11853</v>
      </c>
    </row>
    <row r="500" spans="1:12" x14ac:dyDescent="0.25">
      <c r="A500" s="3" t="s">
        <v>1057</v>
      </c>
      <c r="B500" s="4" t="s">
        <v>1058</v>
      </c>
      <c r="C500" s="4" t="s">
        <v>25</v>
      </c>
      <c r="D500" s="4" t="s">
        <v>26</v>
      </c>
      <c r="E500" s="5" t="str">
        <f>"9051570"</f>
        <v>9051570</v>
      </c>
      <c r="F500" s="3" t="s">
        <v>1616</v>
      </c>
      <c r="G500" s="5">
        <v>2114095736</v>
      </c>
      <c r="H500" s="4" t="s">
        <v>1617</v>
      </c>
      <c r="I500" s="4" t="s">
        <v>1070</v>
      </c>
      <c r="J500" s="4" t="s">
        <v>1105</v>
      </c>
      <c r="K500" s="4" t="s">
        <v>1612</v>
      </c>
      <c r="L500" s="5">
        <v>11363</v>
      </c>
    </row>
    <row r="501" spans="1:12" x14ac:dyDescent="0.25">
      <c r="A501" s="3" t="s">
        <v>1057</v>
      </c>
      <c r="B501" s="4" t="s">
        <v>1058</v>
      </c>
      <c r="C501" s="4" t="s">
        <v>25</v>
      </c>
      <c r="D501" s="4" t="s">
        <v>26</v>
      </c>
      <c r="E501" s="5" t="str">
        <f>"9051191"</f>
        <v>9051191</v>
      </c>
      <c r="F501" s="3" t="s">
        <v>1618</v>
      </c>
      <c r="G501" s="5">
        <v>2107658752</v>
      </c>
      <c r="H501" s="4" t="s">
        <v>1619</v>
      </c>
      <c r="I501" s="4" t="s">
        <v>1065</v>
      </c>
      <c r="J501" s="4" t="s">
        <v>1085</v>
      </c>
      <c r="K501" s="4" t="s">
        <v>1620</v>
      </c>
      <c r="L501" s="5">
        <v>16233</v>
      </c>
    </row>
    <row r="502" spans="1:12" x14ac:dyDescent="0.25">
      <c r="A502" s="3" t="s">
        <v>1057</v>
      </c>
      <c r="B502" s="4" t="s">
        <v>1058</v>
      </c>
      <c r="C502" s="4" t="s">
        <v>25</v>
      </c>
      <c r="D502" s="4" t="s">
        <v>26</v>
      </c>
      <c r="E502" s="5" t="str">
        <f>"9051573"</f>
        <v>9051573</v>
      </c>
      <c r="F502" s="3" t="s">
        <v>1621</v>
      </c>
      <c r="G502" s="5">
        <v>2108621530</v>
      </c>
      <c r="H502" s="4" t="s">
        <v>1622</v>
      </c>
      <c r="I502" s="4" t="s">
        <v>1070</v>
      </c>
      <c r="J502" s="4" t="s">
        <v>1105</v>
      </c>
      <c r="K502" s="4" t="s">
        <v>1623</v>
      </c>
      <c r="L502" s="5">
        <v>11363</v>
      </c>
    </row>
    <row r="503" spans="1:12" x14ac:dyDescent="0.25">
      <c r="A503" s="3" t="s">
        <v>1057</v>
      </c>
      <c r="B503" s="4" t="s">
        <v>1058</v>
      </c>
      <c r="C503" s="4" t="s">
        <v>25</v>
      </c>
      <c r="D503" s="4" t="s">
        <v>26</v>
      </c>
      <c r="E503" s="5" t="str">
        <f>"9051574"</f>
        <v>9051574</v>
      </c>
      <c r="F503" s="3" t="s">
        <v>1624</v>
      </c>
      <c r="G503" s="5">
        <v>2108645348</v>
      </c>
      <c r="H503" s="4" t="s">
        <v>1625</v>
      </c>
      <c r="I503" s="4" t="s">
        <v>1070</v>
      </c>
      <c r="J503" s="4" t="s">
        <v>1105</v>
      </c>
      <c r="K503" s="4" t="s">
        <v>1623</v>
      </c>
      <c r="L503" s="5">
        <v>11363</v>
      </c>
    </row>
    <row r="504" spans="1:12" x14ac:dyDescent="0.25">
      <c r="A504" s="3" t="s">
        <v>1057</v>
      </c>
      <c r="B504" s="4" t="s">
        <v>1058</v>
      </c>
      <c r="C504" s="4" t="s">
        <v>14</v>
      </c>
      <c r="D504" s="4" t="s">
        <v>15</v>
      </c>
      <c r="E504" s="5" t="str">
        <f>"9050483"</f>
        <v>9050483</v>
      </c>
      <c r="F504" s="3" t="s">
        <v>1626</v>
      </c>
      <c r="G504" s="5">
        <v>2102514511</v>
      </c>
      <c r="H504" s="4" t="s">
        <v>1627</v>
      </c>
      <c r="I504" s="4" t="s">
        <v>1257</v>
      </c>
      <c r="J504" s="4" t="s">
        <v>1408</v>
      </c>
      <c r="K504" s="4" t="s">
        <v>1628</v>
      </c>
      <c r="L504" s="5">
        <v>14342</v>
      </c>
    </row>
    <row r="505" spans="1:12" x14ac:dyDescent="0.25">
      <c r="A505" s="3" t="s">
        <v>1057</v>
      </c>
      <c r="B505" s="4" t="s">
        <v>1058</v>
      </c>
      <c r="C505" s="4" t="s">
        <v>25</v>
      </c>
      <c r="D505" s="4" t="s">
        <v>26</v>
      </c>
      <c r="E505" s="5" t="str">
        <f>"9051895"</f>
        <v>9051895</v>
      </c>
      <c r="F505" s="3" t="s">
        <v>1629</v>
      </c>
      <c r="G505" s="5">
        <v>2108611776</v>
      </c>
      <c r="H505" s="4" t="s">
        <v>1630</v>
      </c>
      <c r="I505" s="4" t="s">
        <v>1070</v>
      </c>
      <c r="J505" s="4" t="s">
        <v>1105</v>
      </c>
      <c r="K505" s="4" t="s">
        <v>1631</v>
      </c>
      <c r="L505" s="5">
        <v>11361</v>
      </c>
    </row>
    <row r="506" spans="1:12" x14ac:dyDescent="0.25">
      <c r="A506" s="3" t="s">
        <v>1057</v>
      </c>
      <c r="B506" s="4" t="s">
        <v>1058</v>
      </c>
      <c r="C506" s="4" t="s">
        <v>14</v>
      </c>
      <c r="D506" s="4" t="s">
        <v>15</v>
      </c>
      <c r="E506" s="5" t="str">
        <f>"9051547"</f>
        <v>9051547</v>
      </c>
      <c r="F506" s="3" t="s">
        <v>1632</v>
      </c>
      <c r="G506" s="5">
        <v>2102932840</v>
      </c>
      <c r="H506" s="4" t="s">
        <v>1633</v>
      </c>
      <c r="I506" s="4" t="s">
        <v>1295</v>
      </c>
      <c r="J506" s="4" t="s">
        <v>1296</v>
      </c>
      <c r="K506" s="4" t="s">
        <v>1634</v>
      </c>
      <c r="L506" s="5">
        <v>11146</v>
      </c>
    </row>
    <row r="507" spans="1:12" x14ac:dyDescent="0.25">
      <c r="A507" s="3" t="s">
        <v>1057</v>
      </c>
      <c r="B507" s="4" t="s">
        <v>1058</v>
      </c>
      <c r="C507" s="4" t="s">
        <v>14</v>
      </c>
      <c r="D507" s="4" t="s">
        <v>15</v>
      </c>
      <c r="E507" s="5" t="str">
        <f>"9050946"</f>
        <v>9050946</v>
      </c>
      <c r="F507" s="3" t="s">
        <v>1635</v>
      </c>
      <c r="G507" s="5">
        <v>2107658407</v>
      </c>
      <c r="H507" s="4" t="s">
        <v>1636</v>
      </c>
      <c r="I507" s="4" t="s">
        <v>1065</v>
      </c>
      <c r="J507" s="4" t="s">
        <v>1066</v>
      </c>
      <c r="K507" s="4" t="s">
        <v>1637</v>
      </c>
      <c r="L507" s="5">
        <v>16232</v>
      </c>
    </row>
    <row r="508" spans="1:12" x14ac:dyDescent="0.25">
      <c r="A508" s="3" t="s">
        <v>1057</v>
      </c>
      <c r="B508" s="4" t="s">
        <v>1058</v>
      </c>
      <c r="C508" s="4" t="s">
        <v>14</v>
      </c>
      <c r="D508" s="4" t="s">
        <v>15</v>
      </c>
      <c r="E508" s="5" t="str">
        <f>"9050671"</f>
        <v>9050671</v>
      </c>
      <c r="F508" s="3" t="s">
        <v>1638</v>
      </c>
      <c r="G508" s="5">
        <v>2107625529</v>
      </c>
      <c r="H508" s="4" t="s">
        <v>1639</v>
      </c>
      <c r="I508" s="4" t="s">
        <v>1154</v>
      </c>
      <c r="J508" s="4" t="s">
        <v>1155</v>
      </c>
      <c r="K508" s="4" t="s">
        <v>1364</v>
      </c>
      <c r="L508" s="5">
        <v>17237</v>
      </c>
    </row>
    <row r="509" spans="1:12" x14ac:dyDescent="0.25">
      <c r="A509" s="3" t="s">
        <v>1057</v>
      </c>
      <c r="B509" s="4" t="s">
        <v>1058</v>
      </c>
      <c r="C509" s="4" t="s">
        <v>14</v>
      </c>
      <c r="D509" s="4" t="s">
        <v>15</v>
      </c>
      <c r="E509" s="5" t="str">
        <f>"9050096"</f>
        <v>9050096</v>
      </c>
      <c r="F509" s="3" t="s">
        <v>1640</v>
      </c>
      <c r="G509" s="5">
        <v>2107216253</v>
      </c>
      <c r="H509" s="4" t="s">
        <v>1641</v>
      </c>
      <c r="I509" s="4" t="s">
        <v>1070</v>
      </c>
      <c r="J509" s="4" t="s">
        <v>1071</v>
      </c>
      <c r="K509" s="4" t="s">
        <v>1642</v>
      </c>
      <c r="L509" s="5">
        <v>11634</v>
      </c>
    </row>
    <row r="510" spans="1:12" x14ac:dyDescent="0.25">
      <c r="A510" s="3" t="s">
        <v>1057</v>
      </c>
      <c r="B510" s="4" t="s">
        <v>1058</v>
      </c>
      <c r="C510" s="4" t="s">
        <v>14</v>
      </c>
      <c r="D510" s="4" t="s">
        <v>15</v>
      </c>
      <c r="E510" s="5" t="str">
        <f>"9050309"</f>
        <v>9050309</v>
      </c>
      <c r="F510" s="3" t="s">
        <v>1643</v>
      </c>
      <c r="G510" s="5">
        <v>2103464588</v>
      </c>
      <c r="H510" s="4" t="s">
        <v>1644</v>
      </c>
      <c r="I510" s="4" t="s">
        <v>1070</v>
      </c>
      <c r="J510" s="4" t="s">
        <v>1071</v>
      </c>
      <c r="K510" s="4" t="s">
        <v>1645</v>
      </c>
      <c r="L510" s="5">
        <v>11851</v>
      </c>
    </row>
    <row r="511" spans="1:12" x14ac:dyDescent="0.25">
      <c r="A511" s="3" t="s">
        <v>1057</v>
      </c>
      <c r="B511" s="4" t="s">
        <v>1058</v>
      </c>
      <c r="C511" s="4" t="s">
        <v>14</v>
      </c>
      <c r="D511" s="4" t="s">
        <v>15</v>
      </c>
      <c r="E511" s="5" t="str">
        <f>"9051109"</f>
        <v>9051109</v>
      </c>
      <c r="F511" s="3" t="s">
        <v>1646</v>
      </c>
      <c r="G511" s="5">
        <v>2102922542</v>
      </c>
      <c r="H511" s="4" t="s">
        <v>1647</v>
      </c>
      <c r="I511" s="4" t="s">
        <v>1295</v>
      </c>
      <c r="J511" s="4" t="s">
        <v>1648</v>
      </c>
      <c r="K511" s="4" t="s">
        <v>1649</v>
      </c>
      <c r="L511" s="5">
        <v>11146</v>
      </c>
    </row>
    <row r="512" spans="1:12" ht="30" x14ac:dyDescent="0.25">
      <c r="A512" s="3" t="s">
        <v>1057</v>
      </c>
      <c r="B512" s="4" t="s">
        <v>1058</v>
      </c>
      <c r="C512" s="4" t="s">
        <v>14</v>
      </c>
      <c r="D512" s="4" t="s">
        <v>15</v>
      </c>
      <c r="E512" s="5" t="str">
        <f>"9051357"</f>
        <v>9051357</v>
      </c>
      <c r="F512" s="3" t="s">
        <v>1650</v>
      </c>
      <c r="G512" s="5">
        <v>2107488423</v>
      </c>
      <c r="H512" s="4" t="s">
        <v>1651</v>
      </c>
      <c r="I512" s="4" t="s">
        <v>1061</v>
      </c>
      <c r="J512" s="4" t="s">
        <v>1061</v>
      </c>
      <c r="K512" s="4" t="s">
        <v>1652</v>
      </c>
      <c r="L512" s="5">
        <v>15772</v>
      </c>
    </row>
    <row r="513" spans="1:12" x14ac:dyDescent="0.25">
      <c r="A513" s="3" t="s">
        <v>1057</v>
      </c>
      <c r="B513" s="4" t="s">
        <v>1058</v>
      </c>
      <c r="C513" s="4" t="s">
        <v>25</v>
      </c>
      <c r="D513" s="4" t="s">
        <v>26</v>
      </c>
      <c r="E513" s="5" t="str">
        <f>"9051000"</f>
        <v>9051000</v>
      </c>
      <c r="F513" s="3" t="s">
        <v>1653</v>
      </c>
      <c r="G513" s="5">
        <v>2109755132</v>
      </c>
      <c r="H513" s="4" t="s">
        <v>1654</v>
      </c>
      <c r="I513" s="4" t="s">
        <v>1131</v>
      </c>
      <c r="J513" s="4" t="s">
        <v>1136</v>
      </c>
      <c r="K513" s="4" t="s">
        <v>1655</v>
      </c>
      <c r="L513" s="5">
        <v>16346</v>
      </c>
    </row>
    <row r="514" spans="1:12" x14ac:dyDescent="0.25">
      <c r="A514" s="3" t="s">
        <v>1057</v>
      </c>
      <c r="B514" s="4" t="s">
        <v>1058</v>
      </c>
      <c r="C514" s="4" t="s">
        <v>14</v>
      </c>
      <c r="D514" s="4" t="s">
        <v>15</v>
      </c>
      <c r="E514" s="5" t="str">
        <f>"9051261"</f>
        <v>9051261</v>
      </c>
      <c r="F514" s="3" t="s">
        <v>1656</v>
      </c>
      <c r="G514" s="5">
        <v>2102288830</v>
      </c>
      <c r="H514" s="4" t="s">
        <v>1657</v>
      </c>
      <c r="I514" s="4" t="s">
        <v>1070</v>
      </c>
      <c r="J514" s="4" t="s">
        <v>1071</v>
      </c>
      <c r="K514" s="4" t="s">
        <v>1658</v>
      </c>
      <c r="L514" s="5">
        <v>11141</v>
      </c>
    </row>
    <row r="515" spans="1:12" x14ac:dyDescent="0.25">
      <c r="A515" s="3" t="s">
        <v>1057</v>
      </c>
      <c r="B515" s="4" t="s">
        <v>1058</v>
      </c>
      <c r="C515" s="4" t="s">
        <v>14</v>
      </c>
      <c r="D515" s="4" t="s">
        <v>15</v>
      </c>
      <c r="E515" s="5" t="str">
        <f>"9050165"</f>
        <v>9050165</v>
      </c>
      <c r="F515" s="3" t="s">
        <v>1659</v>
      </c>
      <c r="G515" s="5">
        <v>2109717440</v>
      </c>
      <c r="H515" s="4" t="s">
        <v>1660</v>
      </c>
      <c r="I515" s="4" t="s">
        <v>1131</v>
      </c>
      <c r="J515" s="4" t="s">
        <v>1661</v>
      </c>
      <c r="K515" s="4" t="s">
        <v>1662</v>
      </c>
      <c r="L515" s="5">
        <v>16345</v>
      </c>
    </row>
    <row r="516" spans="1:12" x14ac:dyDescent="0.25">
      <c r="A516" s="3" t="s">
        <v>1057</v>
      </c>
      <c r="B516" s="4" t="s">
        <v>1058</v>
      </c>
      <c r="C516" s="4" t="s">
        <v>25</v>
      </c>
      <c r="D516" s="4" t="s">
        <v>26</v>
      </c>
      <c r="E516" s="5" t="str">
        <f>"9050168"</f>
        <v>9050168</v>
      </c>
      <c r="F516" s="3" t="s">
        <v>1663</v>
      </c>
      <c r="G516" s="5">
        <v>2109752884</v>
      </c>
      <c r="H516" s="4" t="s">
        <v>1664</v>
      </c>
      <c r="I516" s="4" t="s">
        <v>1154</v>
      </c>
      <c r="J516" s="4" t="s">
        <v>1155</v>
      </c>
      <c r="K516" s="4" t="s">
        <v>1665</v>
      </c>
      <c r="L516" s="5">
        <v>17236</v>
      </c>
    </row>
    <row r="517" spans="1:12" x14ac:dyDescent="0.25">
      <c r="A517" s="3" t="s">
        <v>1057</v>
      </c>
      <c r="B517" s="4" t="s">
        <v>1058</v>
      </c>
      <c r="C517" s="4" t="s">
        <v>25</v>
      </c>
      <c r="D517" s="4" t="s">
        <v>26</v>
      </c>
      <c r="E517" s="5" t="str">
        <f>"9051378"</f>
        <v>9051378</v>
      </c>
      <c r="F517" s="3" t="s">
        <v>1666</v>
      </c>
      <c r="G517" s="5">
        <v>2107015921</v>
      </c>
      <c r="H517" s="4" t="s">
        <v>1667</v>
      </c>
      <c r="I517" s="4" t="s">
        <v>1070</v>
      </c>
      <c r="J517" s="4" t="s">
        <v>1071</v>
      </c>
      <c r="K517" s="4" t="s">
        <v>1668</v>
      </c>
      <c r="L517" s="5">
        <v>11631</v>
      </c>
    </row>
    <row r="518" spans="1:12" x14ac:dyDescent="0.25">
      <c r="A518" s="3" t="s">
        <v>1057</v>
      </c>
      <c r="B518" s="4" t="s">
        <v>1058</v>
      </c>
      <c r="C518" s="4" t="s">
        <v>25</v>
      </c>
      <c r="D518" s="4" t="s">
        <v>26</v>
      </c>
      <c r="E518" s="5" t="str">
        <f>"9050759"</f>
        <v>9050759</v>
      </c>
      <c r="F518" s="3" t="s">
        <v>1669</v>
      </c>
      <c r="G518" s="5">
        <v>2105220992</v>
      </c>
      <c r="H518" s="4" t="s">
        <v>1670</v>
      </c>
      <c r="I518" s="4" t="s">
        <v>1070</v>
      </c>
      <c r="J518" s="4" t="s">
        <v>1105</v>
      </c>
      <c r="K518" s="4" t="s">
        <v>1082</v>
      </c>
      <c r="L518" s="5">
        <v>10438</v>
      </c>
    </row>
    <row r="519" spans="1:12" x14ac:dyDescent="0.25">
      <c r="A519" s="3" t="s">
        <v>1057</v>
      </c>
      <c r="B519" s="4" t="s">
        <v>1058</v>
      </c>
      <c r="C519" s="4" t="s">
        <v>25</v>
      </c>
      <c r="D519" s="4" t="s">
        <v>26</v>
      </c>
      <c r="E519" s="5" t="str">
        <f>"9051020"</f>
        <v>9051020</v>
      </c>
      <c r="F519" s="3" t="s">
        <v>1671</v>
      </c>
      <c r="G519" s="5">
        <v>2109701818</v>
      </c>
      <c r="H519" s="4" t="s">
        <v>1672</v>
      </c>
      <c r="I519" s="4" t="s">
        <v>1154</v>
      </c>
      <c r="J519" s="4" t="s">
        <v>1318</v>
      </c>
      <c r="K519" s="4" t="s">
        <v>1673</v>
      </c>
      <c r="L519" s="5">
        <v>17237</v>
      </c>
    </row>
    <row r="520" spans="1:12" x14ac:dyDescent="0.25">
      <c r="A520" s="3" t="s">
        <v>1057</v>
      </c>
      <c r="B520" s="4" t="s">
        <v>1058</v>
      </c>
      <c r="C520" s="4" t="s">
        <v>14</v>
      </c>
      <c r="D520" s="4" t="s">
        <v>15</v>
      </c>
      <c r="E520" s="5" t="str">
        <f>"9050515"</f>
        <v>9050515</v>
      </c>
      <c r="F520" s="3" t="s">
        <v>1674</v>
      </c>
      <c r="G520" s="5">
        <v>2108216815</v>
      </c>
      <c r="H520" s="4" t="s">
        <v>1675</v>
      </c>
      <c r="I520" s="4" t="s">
        <v>1070</v>
      </c>
      <c r="J520" s="4" t="s">
        <v>1105</v>
      </c>
      <c r="K520" s="4" t="s">
        <v>1676</v>
      </c>
      <c r="L520" s="5">
        <v>11251</v>
      </c>
    </row>
    <row r="521" spans="1:12" x14ac:dyDescent="0.25">
      <c r="A521" s="3" t="s">
        <v>1057</v>
      </c>
      <c r="B521" s="4" t="s">
        <v>1058</v>
      </c>
      <c r="C521" s="4" t="s">
        <v>25</v>
      </c>
      <c r="D521" s="4" t="s">
        <v>26</v>
      </c>
      <c r="E521" s="5" t="str">
        <f>"9050687"</f>
        <v>9050687</v>
      </c>
      <c r="F521" s="3" t="s">
        <v>1677</v>
      </c>
      <c r="G521" s="5">
        <v>2107702588</v>
      </c>
      <c r="H521" s="4" t="s">
        <v>1678</v>
      </c>
      <c r="I521" s="4" t="s">
        <v>1070</v>
      </c>
      <c r="J521" s="4" t="s">
        <v>1105</v>
      </c>
      <c r="K521" s="4" t="s">
        <v>1679</v>
      </c>
      <c r="L521" s="5">
        <v>11527</v>
      </c>
    </row>
    <row r="522" spans="1:12" x14ac:dyDescent="0.25">
      <c r="A522" s="3" t="s">
        <v>1057</v>
      </c>
      <c r="B522" s="4" t="s">
        <v>1058</v>
      </c>
      <c r="C522" s="4" t="s">
        <v>25</v>
      </c>
      <c r="D522" s="4" t="s">
        <v>26</v>
      </c>
      <c r="E522" s="5" t="str">
        <f>"9051196"</f>
        <v>9051196</v>
      </c>
      <c r="F522" s="3" t="s">
        <v>1680</v>
      </c>
      <c r="G522" s="5">
        <v>2109768568</v>
      </c>
      <c r="H522" s="4" t="s">
        <v>1681</v>
      </c>
      <c r="I522" s="4" t="s">
        <v>1154</v>
      </c>
      <c r="J522" s="4" t="s">
        <v>1318</v>
      </c>
      <c r="K522" s="4" t="s">
        <v>1682</v>
      </c>
      <c r="L522" s="5">
        <v>17237</v>
      </c>
    </row>
    <row r="523" spans="1:12" x14ac:dyDescent="0.25">
      <c r="A523" s="3" t="s">
        <v>1057</v>
      </c>
      <c r="B523" s="4" t="s">
        <v>1058</v>
      </c>
      <c r="C523" s="4" t="s">
        <v>14</v>
      </c>
      <c r="D523" s="4" t="s">
        <v>15</v>
      </c>
      <c r="E523" s="5" t="str">
        <f>"9050520"</f>
        <v>9050520</v>
      </c>
      <c r="F523" s="3" t="s">
        <v>1683</v>
      </c>
      <c r="G523" s="5">
        <v>2108846255</v>
      </c>
      <c r="H523" s="4" t="s">
        <v>1684</v>
      </c>
      <c r="I523" s="4" t="s">
        <v>1070</v>
      </c>
      <c r="J523" s="4" t="s">
        <v>1071</v>
      </c>
      <c r="K523" s="4" t="s">
        <v>1685</v>
      </c>
      <c r="L523" s="5">
        <v>11363</v>
      </c>
    </row>
    <row r="524" spans="1:12" x14ac:dyDescent="0.25">
      <c r="A524" s="3" t="s">
        <v>1057</v>
      </c>
      <c r="B524" s="4" t="s">
        <v>1058</v>
      </c>
      <c r="C524" s="4" t="s">
        <v>14</v>
      </c>
      <c r="D524" s="4" t="s">
        <v>15</v>
      </c>
      <c r="E524" s="5" t="str">
        <f>"9050532"</f>
        <v>9050532</v>
      </c>
      <c r="F524" s="3" t="s">
        <v>1686</v>
      </c>
      <c r="G524" s="5">
        <v>2108675226</v>
      </c>
      <c r="H524" s="4" t="s">
        <v>1687</v>
      </c>
      <c r="I524" s="4" t="s">
        <v>1070</v>
      </c>
      <c r="J524" s="4" t="s">
        <v>1071</v>
      </c>
      <c r="K524" s="4" t="s">
        <v>1688</v>
      </c>
      <c r="L524" s="5">
        <v>11364</v>
      </c>
    </row>
    <row r="525" spans="1:12" x14ac:dyDescent="0.25">
      <c r="A525" s="3" t="s">
        <v>1057</v>
      </c>
      <c r="B525" s="4" t="s">
        <v>1058</v>
      </c>
      <c r="C525" s="4" t="s">
        <v>14</v>
      </c>
      <c r="D525" s="4" t="s">
        <v>15</v>
      </c>
      <c r="E525" s="5" t="str">
        <f>"9050825"</f>
        <v>9050825</v>
      </c>
      <c r="F525" s="3" t="s">
        <v>1689</v>
      </c>
      <c r="G525" s="5">
        <v>2108319862</v>
      </c>
      <c r="H525" s="4" t="s">
        <v>1690</v>
      </c>
      <c r="I525" s="4" t="s">
        <v>1070</v>
      </c>
      <c r="J525" s="4" t="s">
        <v>1071</v>
      </c>
      <c r="K525" s="4" t="s">
        <v>1495</v>
      </c>
      <c r="L525" s="5">
        <v>10445</v>
      </c>
    </row>
    <row r="526" spans="1:12" x14ac:dyDescent="0.25">
      <c r="A526" s="3" t="s">
        <v>1057</v>
      </c>
      <c r="B526" s="4" t="s">
        <v>1058</v>
      </c>
      <c r="C526" s="4" t="s">
        <v>14</v>
      </c>
      <c r="D526" s="4" t="s">
        <v>15</v>
      </c>
      <c r="E526" s="5" t="str">
        <f>"9051088"</f>
        <v>9051088</v>
      </c>
      <c r="F526" s="3" t="s">
        <v>1691</v>
      </c>
      <c r="G526" s="5">
        <v>2105157445</v>
      </c>
      <c r="H526" s="4" t="s">
        <v>1692</v>
      </c>
      <c r="I526" s="4" t="s">
        <v>1070</v>
      </c>
      <c r="J526" s="4" t="s">
        <v>1071</v>
      </c>
      <c r="K526" s="4" t="s">
        <v>1693</v>
      </c>
      <c r="L526" s="5">
        <v>10444</v>
      </c>
    </row>
    <row r="527" spans="1:12" x14ac:dyDescent="0.25">
      <c r="A527" s="3" t="s">
        <v>1057</v>
      </c>
      <c r="B527" s="4" t="s">
        <v>1058</v>
      </c>
      <c r="C527" s="4" t="s">
        <v>25</v>
      </c>
      <c r="D527" s="4" t="s">
        <v>26</v>
      </c>
      <c r="E527" s="5" t="str">
        <f>"9051552"</f>
        <v>9051552</v>
      </c>
      <c r="F527" s="3" t="s">
        <v>1694</v>
      </c>
      <c r="G527" s="5">
        <v>2109022242</v>
      </c>
      <c r="H527" s="4" t="s">
        <v>1695</v>
      </c>
      <c r="I527" s="4" t="s">
        <v>1070</v>
      </c>
      <c r="J527" s="4" t="s">
        <v>1071</v>
      </c>
      <c r="K527" s="4" t="s">
        <v>1696</v>
      </c>
      <c r="L527" s="5">
        <v>11745</v>
      </c>
    </row>
    <row r="528" spans="1:12" x14ac:dyDescent="0.25">
      <c r="A528" s="3" t="s">
        <v>1057</v>
      </c>
      <c r="B528" s="4" t="s">
        <v>1058</v>
      </c>
      <c r="C528" s="4" t="s">
        <v>25</v>
      </c>
      <c r="D528" s="4" t="s">
        <v>26</v>
      </c>
      <c r="E528" s="5" t="str">
        <f>"9050091"</f>
        <v>9050091</v>
      </c>
      <c r="F528" s="3" t="s">
        <v>1697</v>
      </c>
      <c r="G528" s="5">
        <v>2109232066</v>
      </c>
      <c r="H528" s="4" t="s">
        <v>1698</v>
      </c>
      <c r="I528" s="4" t="s">
        <v>1070</v>
      </c>
      <c r="J528" s="4" t="s">
        <v>1105</v>
      </c>
      <c r="K528" s="4" t="s">
        <v>1234</v>
      </c>
      <c r="L528" s="5">
        <v>11742</v>
      </c>
    </row>
    <row r="529" spans="1:12" x14ac:dyDescent="0.25">
      <c r="A529" s="3" t="s">
        <v>1057</v>
      </c>
      <c r="B529" s="4" t="s">
        <v>1058</v>
      </c>
      <c r="C529" s="4" t="s">
        <v>14</v>
      </c>
      <c r="D529" s="4" t="s">
        <v>15</v>
      </c>
      <c r="E529" s="5" t="str">
        <f>"9050456"</f>
        <v>9050456</v>
      </c>
      <c r="F529" s="3" t="s">
        <v>1699</v>
      </c>
      <c r="G529" s="5">
        <v>2108676440</v>
      </c>
      <c r="H529" s="4" t="s">
        <v>1700</v>
      </c>
      <c r="I529" s="4" t="s">
        <v>1070</v>
      </c>
      <c r="J529" s="4" t="s">
        <v>1215</v>
      </c>
      <c r="K529" s="4" t="s">
        <v>1600</v>
      </c>
      <c r="L529" s="5">
        <v>11253</v>
      </c>
    </row>
    <row r="530" spans="1:12" x14ac:dyDescent="0.25">
      <c r="A530" s="3" t="s">
        <v>1057</v>
      </c>
      <c r="B530" s="4" t="s">
        <v>1058</v>
      </c>
      <c r="C530" s="4" t="s">
        <v>25</v>
      </c>
      <c r="D530" s="4" t="s">
        <v>26</v>
      </c>
      <c r="E530" s="5" t="str">
        <f>"9050733"</f>
        <v>9050733</v>
      </c>
      <c r="F530" s="3" t="s">
        <v>1701</v>
      </c>
      <c r="G530" s="5">
        <v>2109716300</v>
      </c>
      <c r="H530" s="4" t="s">
        <v>1702</v>
      </c>
      <c r="I530" s="4" t="s">
        <v>1154</v>
      </c>
      <c r="J530" s="4" t="s">
        <v>1318</v>
      </c>
      <c r="K530" s="4" t="s">
        <v>1703</v>
      </c>
      <c r="L530" s="5">
        <v>17236</v>
      </c>
    </row>
    <row r="531" spans="1:12" x14ac:dyDescent="0.25">
      <c r="A531" s="3" t="s">
        <v>1057</v>
      </c>
      <c r="B531" s="4" t="s">
        <v>1058</v>
      </c>
      <c r="C531" s="4" t="s">
        <v>25</v>
      </c>
      <c r="D531" s="4" t="s">
        <v>26</v>
      </c>
      <c r="E531" s="5" t="str">
        <f>"9051203"</f>
        <v>9051203</v>
      </c>
      <c r="F531" s="3" t="s">
        <v>1704</v>
      </c>
      <c r="G531" s="5">
        <v>2102224398</v>
      </c>
      <c r="H531" s="4" t="s">
        <v>1705</v>
      </c>
      <c r="I531" s="4" t="s">
        <v>1295</v>
      </c>
      <c r="J531" s="4" t="s">
        <v>1296</v>
      </c>
      <c r="K531" s="4" t="s">
        <v>1706</v>
      </c>
      <c r="L531" s="5">
        <v>11146</v>
      </c>
    </row>
    <row r="532" spans="1:12" x14ac:dyDescent="0.25">
      <c r="A532" s="3" t="s">
        <v>1057</v>
      </c>
      <c r="B532" s="4" t="s">
        <v>1058</v>
      </c>
      <c r="C532" s="4" t="s">
        <v>14</v>
      </c>
      <c r="D532" s="4" t="s">
        <v>15</v>
      </c>
      <c r="E532" s="5" t="str">
        <f>"9050464"</f>
        <v>9050464</v>
      </c>
      <c r="F532" s="3" t="s">
        <v>1707</v>
      </c>
      <c r="G532" s="5">
        <v>2102517246</v>
      </c>
      <c r="H532" s="4" t="s">
        <v>1708</v>
      </c>
      <c r="I532" s="4" t="s">
        <v>1257</v>
      </c>
      <c r="J532" s="4" t="s">
        <v>1709</v>
      </c>
      <c r="K532" s="4" t="s">
        <v>1710</v>
      </c>
      <c r="L532" s="5">
        <v>14342</v>
      </c>
    </row>
    <row r="533" spans="1:12" x14ac:dyDescent="0.25">
      <c r="A533" s="3" t="s">
        <v>1057</v>
      </c>
      <c r="B533" s="4" t="s">
        <v>1058</v>
      </c>
      <c r="C533" s="4" t="s">
        <v>25</v>
      </c>
      <c r="D533" s="4" t="s">
        <v>26</v>
      </c>
      <c r="E533" s="5" t="str">
        <f>"9050754"</f>
        <v>9050754</v>
      </c>
      <c r="F533" s="3" t="s">
        <v>1711</v>
      </c>
      <c r="G533" s="5">
        <v>2103461480</v>
      </c>
      <c r="H533" s="4" t="s">
        <v>1712</v>
      </c>
      <c r="I533" s="4" t="s">
        <v>1070</v>
      </c>
      <c r="J533" s="4" t="s">
        <v>1105</v>
      </c>
      <c r="K533" s="4" t="s">
        <v>1713</v>
      </c>
      <c r="L533" s="5">
        <v>11853</v>
      </c>
    </row>
    <row r="534" spans="1:12" x14ac:dyDescent="0.25">
      <c r="A534" s="3" t="s">
        <v>1057</v>
      </c>
      <c r="B534" s="4" t="s">
        <v>1058</v>
      </c>
      <c r="C534" s="4" t="s">
        <v>25</v>
      </c>
      <c r="D534" s="4" t="s">
        <v>26</v>
      </c>
      <c r="E534" s="5" t="str">
        <f>"9051568"</f>
        <v>9051568</v>
      </c>
      <c r="F534" s="3" t="s">
        <v>1714</v>
      </c>
      <c r="G534" s="5">
        <v>2108310227</v>
      </c>
      <c r="H534" s="4" t="s">
        <v>1715</v>
      </c>
      <c r="I534" s="4" t="s">
        <v>1070</v>
      </c>
      <c r="J534" s="4" t="s">
        <v>1105</v>
      </c>
      <c r="K534" s="4" t="s">
        <v>1716</v>
      </c>
      <c r="L534" s="5">
        <v>11145</v>
      </c>
    </row>
    <row r="535" spans="1:12" x14ac:dyDescent="0.25">
      <c r="A535" s="3" t="s">
        <v>1057</v>
      </c>
      <c r="B535" s="4" t="s">
        <v>1058</v>
      </c>
      <c r="C535" s="4" t="s">
        <v>25</v>
      </c>
      <c r="D535" s="4" t="s">
        <v>26</v>
      </c>
      <c r="E535" s="5" t="str">
        <f>"9051498"</f>
        <v>9051498</v>
      </c>
      <c r="F535" s="3" t="s">
        <v>1717</v>
      </c>
      <c r="G535" s="5">
        <v>2109712641</v>
      </c>
      <c r="H535" s="4" t="s">
        <v>1718</v>
      </c>
      <c r="I535" s="4" t="s">
        <v>1131</v>
      </c>
      <c r="J535" s="4" t="s">
        <v>1136</v>
      </c>
      <c r="K535" s="4" t="s">
        <v>1719</v>
      </c>
      <c r="L535" s="5">
        <v>16345</v>
      </c>
    </row>
    <row r="536" spans="1:12" x14ac:dyDescent="0.25">
      <c r="A536" s="3" t="s">
        <v>1057</v>
      </c>
      <c r="B536" s="4" t="s">
        <v>1058</v>
      </c>
      <c r="C536" s="4" t="s">
        <v>25</v>
      </c>
      <c r="D536" s="4" t="s">
        <v>26</v>
      </c>
      <c r="E536" s="5" t="str">
        <f>"9051765"</f>
        <v>9051765</v>
      </c>
      <c r="F536" s="3" t="s">
        <v>1720</v>
      </c>
      <c r="G536" s="5">
        <v>2108310603</v>
      </c>
      <c r="H536" s="4" t="s">
        <v>1721</v>
      </c>
      <c r="I536" s="4" t="s">
        <v>1070</v>
      </c>
      <c r="J536" s="4" t="s">
        <v>1105</v>
      </c>
      <c r="K536" s="4" t="s">
        <v>1722</v>
      </c>
      <c r="L536" s="5">
        <v>11145</v>
      </c>
    </row>
    <row r="537" spans="1:12" x14ac:dyDescent="0.25">
      <c r="A537" s="3" t="s">
        <v>1057</v>
      </c>
      <c r="B537" s="4" t="s">
        <v>1058</v>
      </c>
      <c r="C537" s="4" t="s">
        <v>14</v>
      </c>
      <c r="D537" s="4" t="s">
        <v>15</v>
      </c>
      <c r="E537" s="5" t="str">
        <f>"9050128"</f>
        <v>9050128</v>
      </c>
      <c r="F537" s="3" t="s">
        <v>1723</v>
      </c>
      <c r="G537" s="5">
        <v>2107651841</v>
      </c>
      <c r="H537" s="4" t="s">
        <v>1724</v>
      </c>
      <c r="I537" s="4" t="s">
        <v>1075</v>
      </c>
      <c r="J537" s="4" t="s">
        <v>1101</v>
      </c>
      <c r="K537" s="4" t="s">
        <v>1725</v>
      </c>
      <c r="L537" s="5">
        <v>16121</v>
      </c>
    </row>
    <row r="538" spans="1:12" x14ac:dyDescent="0.25">
      <c r="A538" s="3" t="s">
        <v>1057</v>
      </c>
      <c r="B538" s="4" t="s">
        <v>1058</v>
      </c>
      <c r="C538" s="4" t="s">
        <v>25</v>
      </c>
      <c r="D538" s="4" t="s">
        <v>26</v>
      </c>
      <c r="E538" s="5" t="str">
        <f>"9051349"</f>
        <v>9051349</v>
      </c>
      <c r="F538" s="3" t="s">
        <v>1726</v>
      </c>
      <c r="G538" s="5">
        <v>2160014116</v>
      </c>
      <c r="H538" s="4" t="s">
        <v>1727</v>
      </c>
      <c r="I538" s="4" t="s">
        <v>1070</v>
      </c>
      <c r="J538" s="4" t="s">
        <v>1105</v>
      </c>
      <c r="K538" s="4" t="s">
        <v>1588</v>
      </c>
      <c r="L538" s="5">
        <v>11852</v>
      </c>
    </row>
    <row r="539" spans="1:12" x14ac:dyDescent="0.25">
      <c r="A539" s="3" t="s">
        <v>1057</v>
      </c>
      <c r="B539" s="4" t="s">
        <v>1058</v>
      </c>
      <c r="C539" s="4" t="s">
        <v>25</v>
      </c>
      <c r="D539" s="4" t="s">
        <v>26</v>
      </c>
      <c r="E539" s="5" t="str">
        <f>"9050852"</f>
        <v>9050852</v>
      </c>
      <c r="F539" s="3" t="s">
        <v>1728</v>
      </c>
      <c r="G539" s="5">
        <v>2160014120</v>
      </c>
      <c r="H539" s="4" t="s">
        <v>1729</v>
      </c>
      <c r="I539" s="4" t="s">
        <v>1070</v>
      </c>
      <c r="J539" s="4" t="s">
        <v>1105</v>
      </c>
      <c r="K539" s="4" t="s">
        <v>1730</v>
      </c>
      <c r="L539" s="5">
        <v>11855</v>
      </c>
    </row>
    <row r="540" spans="1:12" x14ac:dyDescent="0.25">
      <c r="A540" s="3" t="s">
        <v>1057</v>
      </c>
      <c r="B540" s="4" t="s">
        <v>1058</v>
      </c>
      <c r="C540" s="4" t="s">
        <v>14</v>
      </c>
      <c r="D540" s="4" t="s">
        <v>15</v>
      </c>
      <c r="E540" s="5" t="str">
        <f>"9051099"</f>
        <v>9051099</v>
      </c>
      <c r="F540" s="3" t="s">
        <v>1731</v>
      </c>
      <c r="G540" s="5">
        <v>2109732294</v>
      </c>
      <c r="H540" s="4" t="s">
        <v>1732</v>
      </c>
      <c r="I540" s="4" t="s">
        <v>1154</v>
      </c>
      <c r="J540" s="4" t="s">
        <v>1155</v>
      </c>
      <c r="K540" s="4" t="s">
        <v>1733</v>
      </c>
      <c r="L540" s="5">
        <v>17236</v>
      </c>
    </row>
    <row r="541" spans="1:12" x14ac:dyDescent="0.25">
      <c r="A541" s="3" t="s">
        <v>1057</v>
      </c>
      <c r="B541" s="4" t="s">
        <v>1058</v>
      </c>
      <c r="C541" s="4" t="s">
        <v>25</v>
      </c>
      <c r="D541" s="4" t="s">
        <v>26</v>
      </c>
      <c r="E541" s="5" t="str">
        <f>"9051764"</f>
        <v>9051764</v>
      </c>
      <c r="F541" s="3" t="s">
        <v>1734</v>
      </c>
      <c r="G541" s="5">
        <v>2105146690</v>
      </c>
      <c r="H541" s="4" t="s">
        <v>1735</v>
      </c>
      <c r="I541" s="4" t="s">
        <v>1070</v>
      </c>
      <c r="J541" s="4" t="s">
        <v>1071</v>
      </c>
      <c r="K541" s="4" t="s">
        <v>1199</v>
      </c>
      <c r="L541" s="5">
        <v>10442</v>
      </c>
    </row>
    <row r="542" spans="1:12" x14ac:dyDescent="0.25">
      <c r="A542" s="3" t="s">
        <v>1057</v>
      </c>
      <c r="B542" s="4" t="s">
        <v>1058</v>
      </c>
      <c r="C542" s="4" t="s">
        <v>25</v>
      </c>
      <c r="D542" s="4" t="s">
        <v>26</v>
      </c>
      <c r="E542" s="5" t="str">
        <f>"9051009"</f>
        <v>9051009</v>
      </c>
      <c r="F542" s="3" t="s">
        <v>1736</v>
      </c>
      <c r="G542" s="5">
        <v>2105149503</v>
      </c>
      <c r="H542" s="4" t="s">
        <v>1737</v>
      </c>
      <c r="I542" s="4" t="s">
        <v>1070</v>
      </c>
      <c r="J542" s="4" t="s">
        <v>1105</v>
      </c>
      <c r="K542" s="4" t="s">
        <v>1738</v>
      </c>
      <c r="L542" s="5">
        <v>10443</v>
      </c>
    </row>
    <row r="543" spans="1:12" x14ac:dyDescent="0.25">
      <c r="A543" s="3" t="s">
        <v>1057</v>
      </c>
      <c r="B543" s="4" t="s">
        <v>1058</v>
      </c>
      <c r="C543" s="4" t="s">
        <v>14</v>
      </c>
      <c r="D543" s="4" t="s">
        <v>15</v>
      </c>
      <c r="E543" s="5" t="str">
        <f>"9050817"</f>
        <v>9050817</v>
      </c>
      <c r="F543" s="3" t="s">
        <v>1739</v>
      </c>
      <c r="G543" s="5">
        <v>2108311655</v>
      </c>
      <c r="H543" s="4" t="s">
        <v>1740</v>
      </c>
      <c r="I543" s="4" t="s">
        <v>1070</v>
      </c>
      <c r="J543" s="4" t="s">
        <v>1071</v>
      </c>
      <c r="K543" s="4" t="s">
        <v>1741</v>
      </c>
      <c r="L543" s="5">
        <v>10445</v>
      </c>
    </row>
    <row r="544" spans="1:12" x14ac:dyDescent="0.25">
      <c r="A544" s="3" t="s">
        <v>1057</v>
      </c>
      <c r="B544" s="4" t="s">
        <v>1058</v>
      </c>
      <c r="C544" s="4" t="s">
        <v>14</v>
      </c>
      <c r="D544" s="4" t="s">
        <v>15</v>
      </c>
      <c r="E544" s="5" t="str">
        <f>"9050004"</f>
        <v>9050004</v>
      </c>
      <c r="F544" s="3" t="s">
        <v>1742</v>
      </c>
      <c r="G544" s="5">
        <v>2107775186</v>
      </c>
      <c r="H544" s="4" t="s">
        <v>1743</v>
      </c>
      <c r="I544" s="4" t="s">
        <v>1070</v>
      </c>
      <c r="J544" s="4" t="s">
        <v>1071</v>
      </c>
      <c r="K544" s="4" t="s">
        <v>1744</v>
      </c>
      <c r="L544" s="5">
        <v>11527</v>
      </c>
    </row>
    <row r="545" spans="1:12" x14ac:dyDescent="0.25">
      <c r="A545" s="3" t="s">
        <v>1057</v>
      </c>
      <c r="B545" s="4" t="s">
        <v>1058</v>
      </c>
      <c r="C545" s="4" t="s">
        <v>14</v>
      </c>
      <c r="D545" s="4" t="s">
        <v>15</v>
      </c>
      <c r="E545" s="5" t="str">
        <f>"9050163"</f>
        <v>9050163</v>
      </c>
      <c r="F545" s="3" t="s">
        <v>1745</v>
      </c>
      <c r="G545" s="5">
        <v>2109921130</v>
      </c>
      <c r="H545" s="4" t="s">
        <v>1746</v>
      </c>
      <c r="I545" s="4" t="s">
        <v>1131</v>
      </c>
      <c r="J545" s="4" t="s">
        <v>1132</v>
      </c>
      <c r="K545" s="4" t="s">
        <v>1212</v>
      </c>
      <c r="L545" s="5">
        <v>16343</v>
      </c>
    </row>
    <row r="546" spans="1:12" x14ac:dyDescent="0.25">
      <c r="A546" s="3" t="s">
        <v>1057</v>
      </c>
      <c r="B546" s="4" t="s">
        <v>1058</v>
      </c>
      <c r="C546" s="4" t="s">
        <v>14</v>
      </c>
      <c r="D546" s="4" t="s">
        <v>15</v>
      </c>
      <c r="E546" s="5" t="str">
        <f>"9051600"</f>
        <v>9051600</v>
      </c>
      <c r="F546" s="3" t="s">
        <v>1747</v>
      </c>
      <c r="G546" s="5">
        <v>2109730555</v>
      </c>
      <c r="H546" s="4" t="s">
        <v>1748</v>
      </c>
      <c r="I546" s="4" t="s">
        <v>1131</v>
      </c>
      <c r="J546" s="4" t="s">
        <v>1132</v>
      </c>
      <c r="K546" s="4" t="s">
        <v>1749</v>
      </c>
      <c r="L546" s="5">
        <v>16345</v>
      </c>
    </row>
    <row r="547" spans="1:12" x14ac:dyDescent="0.25">
      <c r="A547" s="3" t="s">
        <v>1057</v>
      </c>
      <c r="B547" s="4" t="s">
        <v>1058</v>
      </c>
      <c r="C547" s="4" t="s">
        <v>14</v>
      </c>
      <c r="D547" s="4" t="s">
        <v>15</v>
      </c>
      <c r="E547" s="5" t="str">
        <f>"9050014"</f>
        <v>9050014</v>
      </c>
      <c r="F547" s="3" t="s">
        <v>1750</v>
      </c>
      <c r="G547" s="5">
        <v>2106468461</v>
      </c>
      <c r="H547" s="4" t="s">
        <v>1751</v>
      </c>
      <c r="I547" s="4" t="s">
        <v>1070</v>
      </c>
      <c r="J547" s="4" t="s">
        <v>1071</v>
      </c>
      <c r="K547" s="4" t="s">
        <v>1752</v>
      </c>
      <c r="L547" s="5">
        <v>11474</v>
      </c>
    </row>
    <row r="548" spans="1:12" x14ac:dyDescent="0.25">
      <c r="A548" s="3" t="s">
        <v>1057</v>
      </c>
      <c r="B548" s="4" t="s">
        <v>1058</v>
      </c>
      <c r="C548" s="4" t="s">
        <v>14</v>
      </c>
      <c r="D548" s="4" t="s">
        <v>15</v>
      </c>
      <c r="E548" s="5" t="str">
        <f>"9051324"</f>
        <v>9051324</v>
      </c>
      <c r="F548" s="3" t="s">
        <v>1753</v>
      </c>
      <c r="G548" s="5">
        <v>2105152811</v>
      </c>
      <c r="H548" s="4" t="s">
        <v>1754</v>
      </c>
      <c r="I548" s="4" t="s">
        <v>1070</v>
      </c>
      <c r="J548" s="4" t="s">
        <v>1071</v>
      </c>
      <c r="K548" s="4" t="s">
        <v>1755</v>
      </c>
      <c r="L548" s="5">
        <v>10443</v>
      </c>
    </row>
    <row r="549" spans="1:12" x14ac:dyDescent="0.25">
      <c r="A549" s="3" t="s">
        <v>1057</v>
      </c>
      <c r="B549" s="4" t="s">
        <v>1058</v>
      </c>
      <c r="C549" s="4" t="s">
        <v>14</v>
      </c>
      <c r="D549" s="4" t="s">
        <v>15</v>
      </c>
      <c r="E549" s="5" t="str">
        <f>"9050094"</f>
        <v>9050094</v>
      </c>
      <c r="F549" s="3" t="s">
        <v>1756</v>
      </c>
      <c r="G549" s="5">
        <v>2109230287</v>
      </c>
      <c r="H549" s="4" t="s">
        <v>1757</v>
      </c>
      <c r="I549" s="4" t="s">
        <v>1070</v>
      </c>
      <c r="J549" s="4" t="s">
        <v>1071</v>
      </c>
      <c r="K549" s="4" t="s">
        <v>1758</v>
      </c>
      <c r="L549" s="5">
        <v>11741</v>
      </c>
    </row>
    <row r="550" spans="1:12" x14ac:dyDescent="0.25">
      <c r="A550" s="3" t="s">
        <v>1057</v>
      </c>
      <c r="B550" s="4" t="s">
        <v>1058</v>
      </c>
      <c r="C550" s="4" t="s">
        <v>25</v>
      </c>
      <c r="D550" s="4" t="s">
        <v>26</v>
      </c>
      <c r="E550" s="5" t="str">
        <f>"9051011"</f>
        <v>9051011</v>
      </c>
      <c r="F550" s="3" t="s">
        <v>1759</v>
      </c>
      <c r="G550" s="5">
        <v>2102288575</v>
      </c>
      <c r="H550" s="4" t="s">
        <v>1760</v>
      </c>
      <c r="I550" s="4" t="s">
        <v>1070</v>
      </c>
      <c r="J550" s="4" t="s">
        <v>1105</v>
      </c>
      <c r="K550" s="4" t="s">
        <v>1761</v>
      </c>
      <c r="L550" s="5">
        <v>11254</v>
      </c>
    </row>
    <row r="551" spans="1:12" x14ac:dyDescent="0.25">
      <c r="A551" s="3" t="s">
        <v>1057</v>
      </c>
      <c r="B551" s="4" t="s">
        <v>1058</v>
      </c>
      <c r="C551" s="4" t="s">
        <v>14</v>
      </c>
      <c r="D551" s="4" t="s">
        <v>15</v>
      </c>
      <c r="E551" s="5" t="str">
        <f>"9050321"</f>
        <v>9050321</v>
      </c>
      <c r="F551" s="3" t="s">
        <v>1762</v>
      </c>
      <c r="G551" s="5">
        <v>2103252320</v>
      </c>
      <c r="H551" s="4" t="s">
        <v>1763</v>
      </c>
      <c r="I551" s="4" t="s">
        <v>1070</v>
      </c>
      <c r="J551" s="4" t="s">
        <v>1071</v>
      </c>
      <c r="K551" s="4" t="s">
        <v>1764</v>
      </c>
      <c r="L551" s="5">
        <v>10553</v>
      </c>
    </row>
    <row r="552" spans="1:12" x14ac:dyDescent="0.25">
      <c r="A552" s="3" t="s">
        <v>1057</v>
      </c>
      <c r="B552" s="4" t="s">
        <v>1058</v>
      </c>
      <c r="C552" s="4" t="s">
        <v>25</v>
      </c>
      <c r="D552" s="4" t="s">
        <v>26</v>
      </c>
      <c r="E552" s="5" t="str">
        <f>"9520906"</f>
        <v>9520906</v>
      </c>
      <c r="F552" s="3" t="s">
        <v>1765</v>
      </c>
      <c r="G552" s="5">
        <v>2102110763</v>
      </c>
      <c r="H552" s="4" t="s">
        <v>1766</v>
      </c>
      <c r="I552" s="4" t="s">
        <v>1070</v>
      </c>
      <c r="J552" s="4" t="s">
        <v>1105</v>
      </c>
      <c r="K552" s="4" t="s">
        <v>1767</v>
      </c>
      <c r="L552" s="5">
        <v>11254</v>
      </c>
    </row>
    <row r="553" spans="1:12" x14ac:dyDescent="0.25">
      <c r="A553" s="3" t="s">
        <v>1057</v>
      </c>
      <c r="B553" s="4" t="s">
        <v>1058</v>
      </c>
      <c r="C553" s="4" t="s">
        <v>14</v>
      </c>
      <c r="D553" s="4" t="s">
        <v>15</v>
      </c>
      <c r="E553" s="5" t="str">
        <f>"9050448"</f>
        <v>9050448</v>
      </c>
      <c r="F553" s="3" t="s">
        <v>1768</v>
      </c>
      <c r="G553" s="5">
        <v>2108210622</v>
      </c>
      <c r="H553" s="4" t="s">
        <v>1769</v>
      </c>
      <c r="I553" s="4" t="s">
        <v>1070</v>
      </c>
      <c r="J553" s="4" t="s">
        <v>1071</v>
      </c>
      <c r="K553" s="4" t="s">
        <v>1770</v>
      </c>
      <c r="L553" s="5">
        <v>10439</v>
      </c>
    </row>
    <row r="554" spans="1:12" x14ac:dyDescent="0.25">
      <c r="A554" s="3" t="s">
        <v>1057</v>
      </c>
      <c r="B554" s="4" t="s">
        <v>1058</v>
      </c>
      <c r="C554" s="4" t="s">
        <v>14</v>
      </c>
      <c r="D554" s="4" t="s">
        <v>15</v>
      </c>
      <c r="E554" s="5" t="str">
        <f>"9051107"</f>
        <v>9051107</v>
      </c>
      <c r="F554" s="3" t="s">
        <v>1771</v>
      </c>
      <c r="G554" s="5">
        <v>2102514813</v>
      </c>
      <c r="H554" s="4" t="s">
        <v>1772</v>
      </c>
      <c r="I554" s="4" t="s">
        <v>1257</v>
      </c>
      <c r="J554" s="4" t="s">
        <v>1430</v>
      </c>
      <c r="K554" s="4" t="s">
        <v>1773</v>
      </c>
      <c r="L554" s="5">
        <v>14342</v>
      </c>
    </row>
    <row r="555" spans="1:12" x14ac:dyDescent="0.25">
      <c r="A555" s="3" t="s">
        <v>1057</v>
      </c>
      <c r="B555" s="4" t="s">
        <v>1058</v>
      </c>
      <c r="C555" s="4" t="s">
        <v>14</v>
      </c>
      <c r="D555" s="4" t="s">
        <v>15</v>
      </c>
      <c r="E555" s="5" t="str">
        <f>"9050155"</f>
        <v>9050155</v>
      </c>
      <c r="F555" s="3" t="s">
        <v>1774</v>
      </c>
      <c r="G555" s="5">
        <v>2109718783</v>
      </c>
      <c r="H555" s="4" t="s">
        <v>1775</v>
      </c>
      <c r="I555" s="4" t="s">
        <v>1154</v>
      </c>
      <c r="J555" s="4" t="s">
        <v>1318</v>
      </c>
      <c r="K555" s="4" t="s">
        <v>1776</v>
      </c>
      <c r="L555" s="5">
        <v>17236</v>
      </c>
    </row>
    <row r="556" spans="1:12" x14ac:dyDescent="0.25">
      <c r="A556" s="3" t="s">
        <v>1057</v>
      </c>
      <c r="B556" s="4" t="s">
        <v>1058</v>
      </c>
      <c r="C556" s="4" t="s">
        <v>14</v>
      </c>
      <c r="D556" s="4" t="s">
        <v>15</v>
      </c>
      <c r="E556" s="5" t="str">
        <f>"9050115"</f>
        <v>9050115</v>
      </c>
      <c r="F556" s="3" t="s">
        <v>1777</v>
      </c>
      <c r="G556" s="5">
        <v>2107664940</v>
      </c>
      <c r="H556" s="4" t="s">
        <v>1778</v>
      </c>
      <c r="I556" s="4" t="s">
        <v>1065</v>
      </c>
      <c r="J556" s="4" t="s">
        <v>1066</v>
      </c>
      <c r="K556" s="4" t="s">
        <v>1620</v>
      </c>
      <c r="L556" s="5">
        <v>16233</v>
      </c>
    </row>
    <row r="557" spans="1:12" x14ac:dyDescent="0.25">
      <c r="A557" s="3" t="s">
        <v>1057</v>
      </c>
      <c r="B557" s="4" t="s">
        <v>1058</v>
      </c>
      <c r="C557" s="4" t="s">
        <v>25</v>
      </c>
      <c r="D557" s="4" t="s">
        <v>26</v>
      </c>
      <c r="E557" s="5" t="str">
        <f>"9051626"</f>
        <v>9051626</v>
      </c>
      <c r="F557" s="3" t="s">
        <v>1779</v>
      </c>
      <c r="G557" s="5">
        <v>2109327081</v>
      </c>
      <c r="H557" s="4" t="s">
        <v>1780</v>
      </c>
      <c r="I557" s="4" t="s">
        <v>1070</v>
      </c>
      <c r="J557" s="4" t="s">
        <v>1071</v>
      </c>
      <c r="K557" s="4" t="s">
        <v>1781</v>
      </c>
      <c r="L557" s="5">
        <v>11745</v>
      </c>
    </row>
    <row r="558" spans="1:12" x14ac:dyDescent="0.25">
      <c r="A558" s="3" t="s">
        <v>1057</v>
      </c>
      <c r="B558" s="4" t="s">
        <v>1058</v>
      </c>
      <c r="C558" s="4" t="s">
        <v>25</v>
      </c>
      <c r="D558" s="4" t="s">
        <v>26</v>
      </c>
      <c r="E558" s="5" t="str">
        <f>"9050895"</f>
        <v>9050895</v>
      </c>
      <c r="F558" s="3" t="s">
        <v>1782</v>
      </c>
      <c r="G558" s="5">
        <v>2109027957</v>
      </c>
      <c r="H558" s="4" t="s">
        <v>1783</v>
      </c>
      <c r="I558" s="4" t="s">
        <v>1154</v>
      </c>
      <c r="J558" s="4" t="s">
        <v>1318</v>
      </c>
      <c r="K558" s="4" t="s">
        <v>1784</v>
      </c>
      <c r="L558" s="5">
        <v>17234</v>
      </c>
    </row>
    <row r="559" spans="1:12" x14ac:dyDescent="0.25">
      <c r="A559" s="3" t="s">
        <v>1057</v>
      </c>
      <c r="B559" s="4" t="s">
        <v>1058</v>
      </c>
      <c r="C559" s="4" t="s">
        <v>25</v>
      </c>
      <c r="D559" s="4" t="s">
        <v>26</v>
      </c>
      <c r="E559" s="5" t="str">
        <f>"9051436"</f>
        <v>9051436</v>
      </c>
      <c r="F559" s="3" t="s">
        <v>1785</v>
      </c>
      <c r="G559" s="5">
        <v>2107219777</v>
      </c>
      <c r="H559" s="4" t="s">
        <v>1786</v>
      </c>
      <c r="I559" s="4" t="s">
        <v>1070</v>
      </c>
      <c r="J559" s="4" t="s">
        <v>1071</v>
      </c>
      <c r="K559" s="4" t="s">
        <v>1642</v>
      </c>
      <c r="L559" s="5">
        <v>11634</v>
      </c>
    </row>
    <row r="560" spans="1:12" x14ac:dyDescent="0.25">
      <c r="A560" s="3" t="s">
        <v>1057</v>
      </c>
      <c r="B560" s="4" t="s">
        <v>1058</v>
      </c>
      <c r="C560" s="4" t="s">
        <v>14</v>
      </c>
      <c r="D560" s="4" t="s">
        <v>15</v>
      </c>
      <c r="E560" s="5" t="str">
        <f>"9050171"</f>
        <v>9050171</v>
      </c>
      <c r="F560" s="3" t="s">
        <v>1787</v>
      </c>
      <c r="G560" s="5">
        <v>2107629997</v>
      </c>
      <c r="H560" s="4" t="s">
        <v>1788</v>
      </c>
      <c r="I560" s="4" t="s">
        <v>1154</v>
      </c>
      <c r="J560" s="4" t="s">
        <v>1155</v>
      </c>
      <c r="K560" s="4" t="s">
        <v>1789</v>
      </c>
      <c r="L560" s="5">
        <v>17237</v>
      </c>
    </row>
    <row r="561" spans="1:12" x14ac:dyDescent="0.25">
      <c r="A561" s="3" t="s">
        <v>1057</v>
      </c>
      <c r="B561" s="4" t="s">
        <v>1058</v>
      </c>
      <c r="C561" s="4" t="s">
        <v>14</v>
      </c>
      <c r="D561" s="4" t="s">
        <v>15</v>
      </c>
      <c r="E561" s="5" t="str">
        <f>"9050455"</f>
        <v>9050455</v>
      </c>
      <c r="F561" s="3" t="s">
        <v>1790</v>
      </c>
      <c r="G561" s="5">
        <v>2108652643</v>
      </c>
      <c r="H561" s="4" t="s">
        <v>1791</v>
      </c>
      <c r="I561" s="4" t="s">
        <v>1070</v>
      </c>
      <c r="J561" s="4" t="s">
        <v>1071</v>
      </c>
      <c r="K561" s="4" t="s">
        <v>1792</v>
      </c>
      <c r="L561" s="5">
        <v>11253</v>
      </c>
    </row>
    <row r="562" spans="1:12" x14ac:dyDescent="0.25">
      <c r="A562" s="3" t="s">
        <v>1057</v>
      </c>
      <c r="B562" s="4" t="s">
        <v>1058</v>
      </c>
      <c r="C562" s="4" t="s">
        <v>14</v>
      </c>
      <c r="D562" s="4" t="s">
        <v>15</v>
      </c>
      <c r="E562" s="5" t="str">
        <f>"9050950"</f>
        <v>9050950</v>
      </c>
      <c r="F562" s="3" t="s">
        <v>1793</v>
      </c>
      <c r="G562" s="5">
        <v>2108835220</v>
      </c>
      <c r="H562" s="4" t="s">
        <v>1794</v>
      </c>
      <c r="I562" s="4" t="s">
        <v>1070</v>
      </c>
      <c r="J562" s="4" t="s">
        <v>1071</v>
      </c>
      <c r="K562" s="4" t="s">
        <v>1795</v>
      </c>
      <c r="L562" s="5">
        <v>10446</v>
      </c>
    </row>
    <row r="563" spans="1:12" x14ac:dyDescent="0.25">
      <c r="A563" s="3" t="s">
        <v>1057</v>
      </c>
      <c r="B563" s="4" t="s">
        <v>1058</v>
      </c>
      <c r="C563" s="4" t="s">
        <v>25</v>
      </c>
      <c r="D563" s="4" t="s">
        <v>26</v>
      </c>
      <c r="E563" s="5" t="str">
        <f>"9051443"</f>
        <v>9051443</v>
      </c>
      <c r="F563" s="3" t="s">
        <v>1796</v>
      </c>
      <c r="G563" s="5">
        <v>2109709550</v>
      </c>
      <c r="H563" s="4" t="s">
        <v>1797</v>
      </c>
      <c r="I563" s="4" t="s">
        <v>1131</v>
      </c>
      <c r="J563" s="4" t="s">
        <v>1136</v>
      </c>
      <c r="K563" s="4" t="s">
        <v>1798</v>
      </c>
      <c r="L563" s="5">
        <v>16346</v>
      </c>
    </row>
    <row r="564" spans="1:12" x14ac:dyDescent="0.25">
      <c r="A564" s="3" t="s">
        <v>1057</v>
      </c>
      <c r="B564" s="4" t="s">
        <v>1058</v>
      </c>
      <c r="C564" s="4" t="s">
        <v>25</v>
      </c>
      <c r="D564" s="4" t="s">
        <v>26</v>
      </c>
      <c r="E564" s="5" t="str">
        <f>"9050896"</f>
        <v>9050896</v>
      </c>
      <c r="F564" s="3" t="s">
        <v>1799</v>
      </c>
      <c r="G564" s="5">
        <v>2109927100</v>
      </c>
      <c r="H564" s="4" t="s">
        <v>1800</v>
      </c>
      <c r="I564" s="4" t="s">
        <v>1131</v>
      </c>
      <c r="J564" s="4" t="s">
        <v>1132</v>
      </c>
      <c r="K564" s="4" t="s">
        <v>1801</v>
      </c>
      <c r="L564" s="5">
        <v>16345</v>
      </c>
    </row>
    <row r="565" spans="1:12" x14ac:dyDescent="0.25">
      <c r="A565" s="3" t="s">
        <v>1057</v>
      </c>
      <c r="B565" s="4" t="s">
        <v>1058</v>
      </c>
      <c r="C565" s="4" t="s">
        <v>25</v>
      </c>
      <c r="D565" s="4" t="s">
        <v>26</v>
      </c>
      <c r="E565" s="5" t="str">
        <f>"9050889"</f>
        <v>9050889</v>
      </c>
      <c r="F565" s="3" t="s">
        <v>1802</v>
      </c>
      <c r="G565" s="5">
        <v>2109925787</v>
      </c>
      <c r="H565" s="4" t="s">
        <v>1803</v>
      </c>
      <c r="I565" s="4" t="s">
        <v>1131</v>
      </c>
      <c r="J565" s="4" t="s">
        <v>1132</v>
      </c>
      <c r="K565" s="4" t="s">
        <v>1804</v>
      </c>
      <c r="L565" s="5">
        <v>16346</v>
      </c>
    </row>
    <row r="566" spans="1:12" x14ac:dyDescent="0.25">
      <c r="A566" s="3" t="s">
        <v>1057</v>
      </c>
      <c r="B566" s="4" t="s">
        <v>1058</v>
      </c>
      <c r="C566" s="4" t="s">
        <v>14</v>
      </c>
      <c r="D566" s="4" t="s">
        <v>15</v>
      </c>
      <c r="E566" s="5" t="str">
        <f>"9050682"</f>
        <v>9050682</v>
      </c>
      <c r="F566" s="3" t="s">
        <v>1805</v>
      </c>
      <c r="G566" s="5">
        <v>2108644631</v>
      </c>
      <c r="H566" s="4" t="s">
        <v>1806</v>
      </c>
      <c r="I566" s="4" t="s">
        <v>1070</v>
      </c>
      <c r="J566" s="4" t="s">
        <v>1071</v>
      </c>
      <c r="K566" s="4" t="s">
        <v>1807</v>
      </c>
      <c r="L566" s="5">
        <v>11146</v>
      </c>
    </row>
    <row r="567" spans="1:12" x14ac:dyDescent="0.25">
      <c r="A567" s="3" t="s">
        <v>1057</v>
      </c>
      <c r="B567" s="4" t="s">
        <v>1058</v>
      </c>
      <c r="C567" s="4" t="s">
        <v>25</v>
      </c>
      <c r="D567" s="4" t="s">
        <v>26</v>
      </c>
      <c r="E567" s="5" t="str">
        <f>"9050118"</f>
        <v>9050118</v>
      </c>
      <c r="F567" s="3" t="s">
        <v>1808</v>
      </c>
      <c r="G567" s="5">
        <v>2107659130</v>
      </c>
      <c r="H567" s="4" t="s">
        <v>1809</v>
      </c>
      <c r="I567" s="4" t="s">
        <v>1065</v>
      </c>
      <c r="J567" s="4" t="s">
        <v>1085</v>
      </c>
      <c r="K567" s="4" t="s">
        <v>1810</v>
      </c>
      <c r="L567" s="5">
        <v>16233</v>
      </c>
    </row>
    <row r="568" spans="1:12" x14ac:dyDescent="0.25">
      <c r="A568" s="3" t="s">
        <v>1057</v>
      </c>
      <c r="B568" s="4" t="s">
        <v>1058</v>
      </c>
      <c r="C568" s="4" t="s">
        <v>14</v>
      </c>
      <c r="D568" s="4" t="s">
        <v>15</v>
      </c>
      <c r="E568" s="5" t="str">
        <f>"9051093"</f>
        <v>9051093</v>
      </c>
      <c r="F568" s="3" t="s">
        <v>1811</v>
      </c>
      <c r="G568" s="5">
        <v>2130136999</v>
      </c>
      <c r="H568" s="4" t="s">
        <v>1812</v>
      </c>
      <c r="I568" s="4" t="s">
        <v>1070</v>
      </c>
      <c r="J568" s="4" t="s">
        <v>1071</v>
      </c>
      <c r="K568" s="4" t="s">
        <v>1813</v>
      </c>
      <c r="L568" s="5">
        <v>11362</v>
      </c>
    </row>
    <row r="569" spans="1:12" x14ac:dyDescent="0.25">
      <c r="A569" s="3" t="s">
        <v>1057</v>
      </c>
      <c r="B569" s="4" t="s">
        <v>1058</v>
      </c>
      <c r="C569" s="4" t="s">
        <v>14</v>
      </c>
      <c r="D569" s="4" t="s">
        <v>15</v>
      </c>
      <c r="E569" s="5" t="str">
        <f>"9050101"</f>
        <v>9050101</v>
      </c>
      <c r="F569" s="3" t="s">
        <v>1814</v>
      </c>
      <c r="G569" s="5">
        <v>2107210359</v>
      </c>
      <c r="H569" s="4" t="s">
        <v>1815</v>
      </c>
      <c r="I569" s="4" t="s">
        <v>1070</v>
      </c>
      <c r="J569" s="4" t="s">
        <v>1215</v>
      </c>
      <c r="K569" s="4" t="s">
        <v>1816</v>
      </c>
      <c r="L569" s="5">
        <v>11634</v>
      </c>
    </row>
    <row r="570" spans="1:12" x14ac:dyDescent="0.25">
      <c r="A570" s="3" t="s">
        <v>1057</v>
      </c>
      <c r="B570" s="4" t="s">
        <v>1058</v>
      </c>
      <c r="C570" s="4" t="s">
        <v>14</v>
      </c>
      <c r="D570" s="4" t="s">
        <v>15</v>
      </c>
      <c r="E570" s="5" t="str">
        <f>"9050156"</f>
        <v>9050156</v>
      </c>
      <c r="F570" s="3" t="s">
        <v>1817</v>
      </c>
      <c r="G570" s="5">
        <v>2109021398</v>
      </c>
      <c r="H570" s="4" t="s">
        <v>1818</v>
      </c>
      <c r="I570" s="4" t="s">
        <v>1154</v>
      </c>
      <c r="J570" s="4" t="s">
        <v>1318</v>
      </c>
      <c r="K570" s="4" t="s">
        <v>1819</v>
      </c>
      <c r="L570" s="5">
        <v>17234</v>
      </c>
    </row>
    <row r="571" spans="1:12" x14ac:dyDescent="0.25">
      <c r="A571" s="3" t="s">
        <v>1057</v>
      </c>
      <c r="B571" s="4" t="s">
        <v>1058</v>
      </c>
      <c r="C571" s="4" t="s">
        <v>14</v>
      </c>
      <c r="D571" s="4" t="s">
        <v>15</v>
      </c>
      <c r="E571" s="5" t="str">
        <f>"9520905"</f>
        <v>9520905</v>
      </c>
      <c r="F571" s="3" t="s">
        <v>1820</v>
      </c>
      <c r="G571" s="5">
        <v>2108254098</v>
      </c>
      <c r="H571" s="4" t="s">
        <v>1821</v>
      </c>
      <c r="I571" s="4" t="s">
        <v>1070</v>
      </c>
      <c r="J571" s="4" t="s">
        <v>1071</v>
      </c>
      <c r="K571" s="4" t="s">
        <v>1822</v>
      </c>
      <c r="L571" s="5">
        <v>11363</v>
      </c>
    </row>
    <row r="572" spans="1:12" x14ac:dyDescent="0.25">
      <c r="A572" s="3" t="s">
        <v>1057</v>
      </c>
      <c r="B572" s="4" t="s">
        <v>1058</v>
      </c>
      <c r="C572" s="4" t="s">
        <v>25</v>
      </c>
      <c r="D572" s="4" t="s">
        <v>26</v>
      </c>
      <c r="E572" s="5" t="str">
        <f>"9051399"</f>
        <v>9051399</v>
      </c>
      <c r="F572" s="3" t="s">
        <v>1823</v>
      </c>
      <c r="G572" s="5">
        <v>2109912574</v>
      </c>
      <c r="H572" s="4" t="s">
        <v>1824</v>
      </c>
      <c r="I572" s="4" t="s">
        <v>1131</v>
      </c>
      <c r="J572" s="4" t="s">
        <v>1136</v>
      </c>
      <c r="K572" s="4" t="s">
        <v>1825</v>
      </c>
      <c r="L572" s="5">
        <v>16342</v>
      </c>
    </row>
    <row r="573" spans="1:12" x14ac:dyDescent="0.25">
      <c r="A573" s="3" t="s">
        <v>1057</v>
      </c>
      <c r="B573" s="4" t="s">
        <v>1058</v>
      </c>
      <c r="C573" s="4" t="s">
        <v>14</v>
      </c>
      <c r="D573" s="4" t="s">
        <v>15</v>
      </c>
      <c r="E573" s="5" t="str">
        <f>"9050097"</f>
        <v>9050097</v>
      </c>
      <c r="F573" s="3" t="s">
        <v>1826</v>
      </c>
      <c r="G573" s="5">
        <v>2109335509</v>
      </c>
      <c r="H573" s="4" t="s">
        <v>1827</v>
      </c>
      <c r="I573" s="4" t="s">
        <v>1070</v>
      </c>
      <c r="J573" s="4" t="s">
        <v>1071</v>
      </c>
      <c r="K573" s="4" t="s">
        <v>1828</v>
      </c>
      <c r="L573" s="5">
        <v>11745</v>
      </c>
    </row>
    <row r="574" spans="1:12" x14ac:dyDescent="0.25">
      <c r="A574" s="3" t="s">
        <v>1057</v>
      </c>
      <c r="B574" s="4" t="s">
        <v>1058</v>
      </c>
      <c r="C574" s="4" t="s">
        <v>14</v>
      </c>
      <c r="D574" s="4" t="s">
        <v>15</v>
      </c>
      <c r="E574" s="5" t="str">
        <f>"9050013"</f>
        <v>9050013</v>
      </c>
      <c r="F574" s="3" t="s">
        <v>1829</v>
      </c>
      <c r="G574" s="5">
        <v>2106465769</v>
      </c>
      <c r="H574" s="4" t="s">
        <v>1830</v>
      </c>
      <c r="I574" s="4" t="s">
        <v>1070</v>
      </c>
      <c r="J574" s="4" t="s">
        <v>1071</v>
      </c>
      <c r="K574" s="4" t="s">
        <v>1831</v>
      </c>
      <c r="L574" s="5">
        <v>11475</v>
      </c>
    </row>
    <row r="575" spans="1:12" x14ac:dyDescent="0.25">
      <c r="A575" s="3" t="s">
        <v>1057</v>
      </c>
      <c r="B575" s="4" t="s">
        <v>1058</v>
      </c>
      <c r="C575" s="4" t="s">
        <v>25</v>
      </c>
      <c r="D575" s="4" t="s">
        <v>26</v>
      </c>
      <c r="E575" s="5" t="str">
        <f>"9050728"</f>
        <v>9050728</v>
      </c>
      <c r="F575" s="3" t="s">
        <v>1832</v>
      </c>
      <c r="G575" s="5">
        <v>2107666966</v>
      </c>
      <c r="H575" s="4" t="s">
        <v>1833</v>
      </c>
      <c r="I575" s="4" t="s">
        <v>1065</v>
      </c>
      <c r="J575" s="4" t="s">
        <v>1085</v>
      </c>
      <c r="K575" s="4" t="s">
        <v>1271</v>
      </c>
      <c r="L575" s="5">
        <v>16231</v>
      </c>
    </row>
    <row r="576" spans="1:12" x14ac:dyDescent="0.25">
      <c r="A576" s="3" t="s">
        <v>1057</v>
      </c>
      <c r="B576" s="4" t="s">
        <v>1058</v>
      </c>
      <c r="C576" s="4" t="s">
        <v>14</v>
      </c>
      <c r="D576" s="4" t="s">
        <v>15</v>
      </c>
      <c r="E576" s="5" t="str">
        <f>"9051094"</f>
        <v>9051094</v>
      </c>
      <c r="F576" s="3" t="s">
        <v>1834</v>
      </c>
      <c r="G576" s="5">
        <v>2108841195</v>
      </c>
      <c r="H576" s="4" t="s">
        <v>1835</v>
      </c>
      <c r="I576" s="4" t="s">
        <v>1070</v>
      </c>
      <c r="J576" s="4" t="s">
        <v>1071</v>
      </c>
      <c r="K576" s="4" t="s">
        <v>1836</v>
      </c>
      <c r="L576" s="5">
        <v>11363</v>
      </c>
    </row>
    <row r="577" spans="1:12" x14ac:dyDescent="0.25">
      <c r="A577" s="3" t="s">
        <v>1057</v>
      </c>
      <c r="B577" s="4" t="s">
        <v>1058</v>
      </c>
      <c r="C577" s="4" t="s">
        <v>14</v>
      </c>
      <c r="D577" s="4" t="s">
        <v>15</v>
      </c>
      <c r="E577" s="5" t="str">
        <f>"9051263"</f>
        <v>9051263</v>
      </c>
      <c r="F577" s="3" t="s">
        <v>1837</v>
      </c>
      <c r="G577" s="5">
        <v>2102924182</v>
      </c>
      <c r="H577" s="4" t="s">
        <v>1838</v>
      </c>
      <c r="I577" s="4" t="s">
        <v>1295</v>
      </c>
      <c r="J577" s="4" t="s">
        <v>1296</v>
      </c>
      <c r="K577" s="4" t="s">
        <v>1839</v>
      </c>
      <c r="L577" s="5">
        <v>11147</v>
      </c>
    </row>
    <row r="578" spans="1:12" x14ac:dyDescent="0.25">
      <c r="A578" s="3" t="s">
        <v>1057</v>
      </c>
      <c r="B578" s="4" t="s">
        <v>1058</v>
      </c>
      <c r="C578" s="4" t="s">
        <v>14</v>
      </c>
      <c r="D578" s="4" t="s">
        <v>15</v>
      </c>
      <c r="E578" s="5" t="str">
        <f>"9050310"</f>
        <v>9050310</v>
      </c>
      <c r="F578" s="3" t="s">
        <v>1840</v>
      </c>
      <c r="G578" s="5">
        <v>2103417858</v>
      </c>
      <c r="H578" s="4" t="s">
        <v>1841</v>
      </c>
      <c r="I578" s="4" t="s">
        <v>1070</v>
      </c>
      <c r="J578" s="4" t="s">
        <v>1071</v>
      </c>
      <c r="K578" s="4" t="s">
        <v>1842</v>
      </c>
      <c r="L578" s="5">
        <v>11851</v>
      </c>
    </row>
    <row r="579" spans="1:12" x14ac:dyDescent="0.25">
      <c r="A579" s="3" t="s">
        <v>1057</v>
      </c>
      <c r="B579" s="4" t="s">
        <v>1058</v>
      </c>
      <c r="C579" s="4" t="s">
        <v>14</v>
      </c>
      <c r="D579" s="4" t="s">
        <v>15</v>
      </c>
      <c r="E579" s="5" t="str">
        <f>"9520958"</f>
        <v>9520958</v>
      </c>
      <c r="F579" s="3" t="s">
        <v>1843</v>
      </c>
      <c r="G579" s="5">
        <v>2102526560</v>
      </c>
      <c r="H579" s="4" t="s">
        <v>1844</v>
      </c>
      <c r="I579" s="4" t="s">
        <v>1070</v>
      </c>
      <c r="J579" s="4" t="s">
        <v>1071</v>
      </c>
      <c r="K579" s="4" t="s">
        <v>1845</v>
      </c>
      <c r="L579" s="5">
        <v>11143</v>
      </c>
    </row>
    <row r="580" spans="1:12" x14ac:dyDescent="0.25">
      <c r="A580" s="3" t="s">
        <v>1057</v>
      </c>
      <c r="B580" s="4" t="s">
        <v>1058</v>
      </c>
      <c r="C580" s="4" t="s">
        <v>14</v>
      </c>
      <c r="D580" s="4" t="s">
        <v>15</v>
      </c>
      <c r="E580" s="5" t="str">
        <f>"9050159"</f>
        <v>9050159</v>
      </c>
      <c r="F580" s="3" t="s">
        <v>1846</v>
      </c>
      <c r="G580" s="5">
        <v>2109700139</v>
      </c>
      <c r="H580" s="4" t="s">
        <v>1847</v>
      </c>
      <c r="I580" s="4" t="s">
        <v>1131</v>
      </c>
      <c r="J580" s="4" t="s">
        <v>1132</v>
      </c>
      <c r="K580" s="4" t="s">
        <v>1848</v>
      </c>
      <c r="L580" s="5">
        <v>16346</v>
      </c>
    </row>
    <row r="581" spans="1:12" x14ac:dyDescent="0.25">
      <c r="A581" s="3" t="s">
        <v>1057</v>
      </c>
      <c r="B581" s="4" t="s">
        <v>1058</v>
      </c>
      <c r="C581" s="4" t="s">
        <v>14</v>
      </c>
      <c r="D581" s="4" t="s">
        <v>15</v>
      </c>
      <c r="E581" s="5" t="str">
        <f>"9050152"</f>
        <v>9050152</v>
      </c>
      <c r="F581" s="3" t="s">
        <v>1849</v>
      </c>
      <c r="G581" s="5">
        <v>2109711786</v>
      </c>
      <c r="H581" s="4" t="s">
        <v>1850</v>
      </c>
      <c r="I581" s="4" t="s">
        <v>1154</v>
      </c>
      <c r="J581" s="4" t="s">
        <v>1318</v>
      </c>
      <c r="K581" s="4" t="s">
        <v>1851</v>
      </c>
      <c r="L581" s="5">
        <v>17235</v>
      </c>
    </row>
    <row r="582" spans="1:12" x14ac:dyDescent="0.25">
      <c r="A582" s="3" t="s">
        <v>1057</v>
      </c>
      <c r="B582" s="4" t="s">
        <v>1058</v>
      </c>
      <c r="C582" s="4" t="s">
        <v>25</v>
      </c>
      <c r="D582" s="4" t="s">
        <v>26</v>
      </c>
      <c r="E582" s="5" t="str">
        <f>"9050691"</f>
        <v>9050691</v>
      </c>
      <c r="F582" s="3" t="s">
        <v>1852</v>
      </c>
      <c r="G582" s="5">
        <v>2106923372</v>
      </c>
      <c r="H582" s="4" t="s">
        <v>1853</v>
      </c>
      <c r="I582" s="4" t="s">
        <v>1070</v>
      </c>
      <c r="J582" s="4" t="s">
        <v>1105</v>
      </c>
      <c r="K582" s="4" t="s">
        <v>1854</v>
      </c>
      <c r="L582" s="5">
        <v>11524</v>
      </c>
    </row>
    <row r="583" spans="1:12" x14ac:dyDescent="0.25">
      <c r="A583" s="3" t="s">
        <v>1057</v>
      </c>
      <c r="B583" s="4" t="s">
        <v>1058</v>
      </c>
      <c r="C583" s="4" t="s">
        <v>14</v>
      </c>
      <c r="D583" s="4" t="s">
        <v>15</v>
      </c>
      <c r="E583" s="5" t="str">
        <f>"9050458"</f>
        <v>9050458</v>
      </c>
      <c r="F583" s="3" t="s">
        <v>1855</v>
      </c>
      <c r="G583" s="5">
        <v>2102110304</v>
      </c>
      <c r="H583" s="4" t="s">
        <v>1856</v>
      </c>
      <c r="I583" s="4" t="s">
        <v>1070</v>
      </c>
      <c r="J583" s="4" t="s">
        <v>1071</v>
      </c>
      <c r="K583" s="4" t="s">
        <v>1857</v>
      </c>
      <c r="L583" s="5">
        <v>11144</v>
      </c>
    </row>
    <row r="584" spans="1:12" x14ac:dyDescent="0.25">
      <c r="A584" s="3" t="s">
        <v>1057</v>
      </c>
      <c r="B584" s="4" t="s">
        <v>1058</v>
      </c>
      <c r="C584" s="4" t="s">
        <v>14</v>
      </c>
      <c r="D584" s="4" t="s">
        <v>15</v>
      </c>
      <c r="E584" s="5" t="str">
        <f>"9050149"</f>
        <v>9050149</v>
      </c>
      <c r="F584" s="3" t="s">
        <v>1858</v>
      </c>
      <c r="G584" s="5">
        <v>2109703540</v>
      </c>
      <c r="H584" s="4" t="s">
        <v>1859</v>
      </c>
      <c r="I584" s="4" t="s">
        <v>1154</v>
      </c>
      <c r="J584" s="4" t="s">
        <v>1318</v>
      </c>
      <c r="K584" s="4" t="s">
        <v>1860</v>
      </c>
      <c r="L584" s="5">
        <v>17235</v>
      </c>
    </row>
    <row r="585" spans="1:12" x14ac:dyDescent="0.25">
      <c r="A585" s="3" t="s">
        <v>1057</v>
      </c>
      <c r="B585" s="4" t="s">
        <v>1058</v>
      </c>
      <c r="C585" s="4" t="s">
        <v>14</v>
      </c>
      <c r="D585" s="4" t="s">
        <v>15</v>
      </c>
      <c r="E585" s="5" t="str">
        <f>"9050459"</f>
        <v>9050459</v>
      </c>
      <c r="F585" s="3" t="s">
        <v>1861</v>
      </c>
      <c r="G585" s="5">
        <v>2102013380</v>
      </c>
      <c r="H585" s="4" t="s">
        <v>1862</v>
      </c>
      <c r="I585" s="4" t="s">
        <v>1070</v>
      </c>
      <c r="J585" s="4" t="s">
        <v>1071</v>
      </c>
      <c r="K585" s="4" t="s">
        <v>1434</v>
      </c>
      <c r="L585" s="5">
        <v>11143</v>
      </c>
    </row>
    <row r="586" spans="1:12" x14ac:dyDescent="0.25">
      <c r="A586" s="3" t="s">
        <v>1057</v>
      </c>
      <c r="B586" s="4" t="s">
        <v>1058</v>
      </c>
      <c r="C586" s="4" t="s">
        <v>25</v>
      </c>
      <c r="D586" s="4" t="s">
        <v>26</v>
      </c>
      <c r="E586" s="5" t="str">
        <f>"9051284"</f>
        <v>9051284</v>
      </c>
      <c r="F586" s="3" t="s">
        <v>1863</v>
      </c>
      <c r="G586" s="5">
        <v>2106923372</v>
      </c>
      <c r="H586" s="4" t="s">
        <v>1864</v>
      </c>
      <c r="I586" s="4" t="s">
        <v>1070</v>
      </c>
      <c r="J586" s="4" t="s">
        <v>1071</v>
      </c>
      <c r="K586" s="4" t="s">
        <v>1865</v>
      </c>
      <c r="L586" s="5">
        <v>11524</v>
      </c>
    </row>
    <row r="587" spans="1:12" ht="30" x14ac:dyDescent="0.25">
      <c r="A587" s="3" t="s">
        <v>1057</v>
      </c>
      <c r="B587" s="4" t="s">
        <v>1058</v>
      </c>
      <c r="C587" s="4" t="s">
        <v>14</v>
      </c>
      <c r="D587" s="4" t="s">
        <v>15</v>
      </c>
      <c r="E587" s="5" t="str">
        <f>"9050915"</f>
        <v>9050915</v>
      </c>
      <c r="F587" s="3" t="s">
        <v>1866</v>
      </c>
      <c r="G587" s="5">
        <v>2102230224</v>
      </c>
      <c r="H587" s="4" t="s">
        <v>1867</v>
      </c>
      <c r="I587" s="4" t="s">
        <v>1070</v>
      </c>
      <c r="J587" s="4" t="s">
        <v>1071</v>
      </c>
      <c r="K587" s="4" t="s">
        <v>1868</v>
      </c>
      <c r="L587" s="5">
        <v>11255</v>
      </c>
    </row>
    <row r="588" spans="1:12" x14ac:dyDescent="0.25">
      <c r="A588" s="3" t="s">
        <v>1057</v>
      </c>
      <c r="B588" s="4" t="s">
        <v>1058</v>
      </c>
      <c r="C588" s="4" t="s">
        <v>14</v>
      </c>
      <c r="D588" s="4" t="s">
        <v>15</v>
      </c>
      <c r="E588" s="5" t="str">
        <f>"9050517"</f>
        <v>9050517</v>
      </c>
      <c r="F588" s="3" t="s">
        <v>1869</v>
      </c>
      <c r="G588" s="5">
        <v>2108627169</v>
      </c>
      <c r="H588" s="4" t="s">
        <v>1870</v>
      </c>
      <c r="I588" s="4" t="s">
        <v>1070</v>
      </c>
      <c r="J588" s="4" t="s">
        <v>1071</v>
      </c>
      <c r="K588" s="4" t="s">
        <v>1871</v>
      </c>
      <c r="L588" s="5">
        <v>11361</v>
      </c>
    </row>
    <row r="589" spans="1:12" x14ac:dyDescent="0.25">
      <c r="A589" s="3" t="s">
        <v>1057</v>
      </c>
      <c r="B589" s="4" t="s">
        <v>1058</v>
      </c>
      <c r="C589" s="4" t="s">
        <v>14</v>
      </c>
      <c r="D589" s="4" t="s">
        <v>15</v>
      </c>
      <c r="E589" s="5" t="str">
        <f>"9050157"</f>
        <v>9050157</v>
      </c>
      <c r="F589" s="3" t="s">
        <v>1872</v>
      </c>
      <c r="G589" s="5">
        <v>2109019844</v>
      </c>
      <c r="H589" s="4" t="s">
        <v>1873</v>
      </c>
      <c r="I589" s="4" t="s">
        <v>1154</v>
      </c>
      <c r="J589" s="4" t="s">
        <v>1318</v>
      </c>
      <c r="K589" s="4" t="s">
        <v>1874</v>
      </c>
      <c r="L589" s="5">
        <v>17234</v>
      </c>
    </row>
    <row r="590" spans="1:12" x14ac:dyDescent="0.25">
      <c r="A590" s="3" t="s">
        <v>1057</v>
      </c>
      <c r="B590" s="4" t="s">
        <v>1058</v>
      </c>
      <c r="C590" s="4" t="s">
        <v>14</v>
      </c>
      <c r="D590" s="4" t="s">
        <v>15</v>
      </c>
      <c r="E590" s="5" t="str">
        <f>"9050512"</f>
        <v>9050512</v>
      </c>
      <c r="F590" s="3" t="s">
        <v>1875</v>
      </c>
      <c r="G590" s="5">
        <v>2102022602</v>
      </c>
      <c r="H590" s="4" t="s">
        <v>1876</v>
      </c>
      <c r="I590" s="4" t="s">
        <v>1070</v>
      </c>
      <c r="J590" s="4" t="s">
        <v>1071</v>
      </c>
      <c r="K590" s="4" t="s">
        <v>1379</v>
      </c>
      <c r="L590" s="5">
        <v>11255</v>
      </c>
    </row>
    <row r="591" spans="1:12" x14ac:dyDescent="0.25">
      <c r="A591" s="3" t="s">
        <v>1057</v>
      </c>
      <c r="B591" s="4" t="s">
        <v>1058</v>
      </c>
      <c r="C591" s="4" t="s">
        <v>14</v>
      </c>
      <c r="D591" s="4" t="s">
        <v>15</v>
      </c>
      <c r="E591" s="5" t="str">
        <f>"9050150"</f>
        <v>9050150</v>
      </c>
      <c r="F591" s="3" t="s">
        <v>1877</v>
      </c>
      <c r="G591" s="5">
        <v>2109711883</v>
      </c>
      <c r="H591" s="4" t="s">
        <v>1878</v>
      </c>
      <c r="I591" s="4" t="s">
        <v>1154</v>
      </c>
      <c r="J591" s="4" t="s">
        <v>1879</v>
      </c>
      <c r="K591" s="4" t="s">
        <v>1880</v>
      </c>
      <c r="L591" s="5">
        <v>17235</v>
      </c>
    </row>
    <row r="592" spans="1:12" x14ac:dyDescent="0.25">
      <c r="A592" s="3" t="s">
        <v>1057</v>
      </c>
      <c r="B592" s="4" t="s">
        <v>1058</v>
      </c>
      <c r="C592" s="4" t="s">
        <v>14</v>
      </c>
      <c r="D592" s="4" t="s">
        <v>15</v>
      </c>
      <c r="E592" s="5" t="str">
        <f>"9051259"</f>
        <v>9051259</v>
      </c>
      <c r="F592" s="3" t="s">
        <v>1881</v>
      </c>
      <c r="G592" s="5">
        <v>2102282820</v>
      </c>
      <c r="H592" s="4" t="s">
        <v>1882</v>
      </c>
      <c r="I592" s="4" t="s">
        <v>1070</v>
      </c>
      <c r="J592" s="4" t="s">
        <v>1071</v>
      </c>
      <c r="K592" s="4" t="s">
        <v>1379</v>
      </c>
      <c r="L592" s="5">
        <v>11255</v>
      </c>
    </row>
    <row r="593" spans="1:12" x14ac:dyDescent="0.25">
      <c r="A593" s="3" t="s">
        <v>1057</v>
      </c>
      <c r="B593" s="4" t="s">
        <v>1058</v>
      </c>
      <c r="C593" s="4" t="s">
        <v>14</v>
      </c>
      <c r="D593" s="4" t="s">
        <v>15</v>
      </c>
      <c r="E593" s="5" t="str">
        <f>"9050519"</f>
        <v>9050519</v>
      </c>
      <c r="F593" s="3" t="s">
        <v>1883</v>
      </c>
      <c r="G593" s="5">
        <v>2106423091</v>
      </c>
      <c r="H593" s="4" t="s">
        <v>1884</v>
      </c>
      <c r="I593" s="4" t="s">
        <v>1070</v>
      </c>
      <c r="J593" s="4" t="s">
        <v>1215</v>
      </c>
      <c r="K593" s="4" t="s">
        <v>1563</v>
      </c>
      <c r="L593" s="5">
        <v>11473</v>
      </c>
    </row>
    <row r="594" spans="1:12" x14ac:dyDescent="0.25">
      <c r="A594" s="3" t="s">
        <v>1057</v>
      </c>
      <c r="B594" s="4" t="s">
        <v>1058</v>
      </c>
      <c r="C594" s="4" t="s">
        <v>25</v>
      </c>
      <c r="D594" s="4" t="s">
        <v>26</v>
      </c>
      <c r="E594" s="5" t="str">
        <f>"9051906"</f>
        <v>9051906</v>
      </c>
      <c r="F594" s="3" t="s">
        <v>1885</v>
      </c>
      <c r="G594" s="5">
        <v>2105136352</v>
      </c>
      <c r="H594" s="4" t="s">
        <v>1886</v>
      </c>
      <c r="I594" s="4" t="s">
        <v>1070</v>
      </c>
      <c r="J594" s="4" t="s">
        <v>1105</v>
      </c>
      <c r="K594" s="4" t="s">
        <v>1887</v>
      </c>
      <c r="L594" s="5">
        <v>10443</v>
      </c>
    </row>
    <row r="595" spans="1:12" x14ac:dyDescent="0.25">
      <c r="A595" s="3" t="s">
        <v>1057</v>
      </c>
      <c r="B595" s="4" t="s">
        <v>1058</v>
      </c>
      <c r="C595" s="4" t="s">
        <v>14</v>
      </c>
      <c r="D595" s="4" t="s">
        <v>15</v>
      </c>
      <c r="E595" s="5" t="str">
        <f>"9050529"</f>
        <v>9050529</v>
      </c>
      <c r="F595" s="3" t="s">
        <v>1888</v>
      </c>
      <c r="G595" s="5">
        <v>2108674935</v>
      </c>
      <c r="H595" s="4" t="s">
        <v>1889</v>
      </c>
      <c r="I595" s="4" t="s">
        <v>1070</v>
      </c>
      <c r="J595" s="4" t="s">
        <v>1071</v>
      </c>
      <c r="K595" s="4" t="s">
        <v>1807</v>
      </c>
      <c r="L595" s="5">
        <v>11146</v>
      </c>
    </row>
    <row r="596" spans="1:12" x14ac:dyDescent="0.25">
      <c r="A596" s="3" t="s">
        <v>1057</v>
      </c>
      <c r="B596" s="4" t="s">
        <v>1058</v>
      </c>
      <c r="C596" s="4" t="s">
        <v>25</v>
      </c>
      <c r="D596" s="4" t="s">
        <v>26</v>
      </c>
      <c r="E596" s="5" t="str">
        <f>"9051012"</f>
        <v>9051012</v>
      </c>
      <c r="F596" s="3" t="s">
        <v>1890</v>
      </c>
      <c r="G596" s="5">
        <v>2108643943</v>
      </c>
      <c r="H596" s="4" t="s">
        <v>1891</v>
      </c>
      <c r="I596" s="4" t="s">
        <v>1070</v>
      </c>
      <c r="J596" s="4" t="s">
        <v>1105</v>
      </c>
      <c r="K596" s="4" t="s">
        <v>1892</v>
      </c>
      <c r="L596" s="5">
        <v>11251</v>
      </c>
    </row>
    <row r="597" spans="1:12" x14ac:dyDescent="0.25">
      <c r="A597" s="3" t="s">
        <v>1057</v>
      </c>
      <c r="B597" s="4" t="s">
        <v>1058</v>
      </c>
      <c r="C597" s="4" t="s">
        <v>14</v>
      </c>
      <c r="D597" s="4" t="s">
        <v>15</v>
      </c>
      <c r="E597" s="5" t="str">
        <f>"9050447"</f>
        <v>9050447</v>
      </c>
      <c r="F597" s="3" t="s">
        <v>1893</v>
      </c>
      <c r="G597" s="5">
        <v>2108216191</v>
      </c>
      <c r="H597" s="4" t="s">
        <v>1894</v>
      </c>
      <c r="I597" s="4" t="s">
        <v>1070</v>
      </c>
      <c r="J597" s="4" t="s">
        <v>1895</v>
      </c>
      <c r="K597" s="4" t="s">
        <v>1896</v>
      </c>
      <c r="L597" s="5">
        <v>10440</v>
      </c>
    </row>
    <row r="598" spans="1:12" x14ac:dyDescent="0.25">
      <c r="A598" s="3" t="s">
        <v>1057</v>
      </c>
      <c r="B598" s="4" t="s">
        <v>1058</v>
      </c>
      <c r="C598" s="4" t="s">
        <v>14</v>
      </c>
      <c r="D598" s="4" t="s">
        <v>15</v>
      </c>
      <c r="E598" s="5" t="str">
        <f>"9051106"</f>
        <v>9051106</v>
      </c>
      <c r="F598" s="3" t="s">
        <v>1897</v>
      </c>
      <c r="G598" s="5">
        <v>2102013555</v>
      </c>
      <c r="H598" s="4" t="s">
        <v>1898</v>
      </c>
      <c r="I598" s="4" t="s">
        <v>1070</v>
      </c>
      <c r="J598" s="4" t="s">
        <v>1071</v>
      </c>
      <c r="K598" s="4" t="s">
        <v>1899</v>
      </c>
      <c r="L598" s="5">
        <v>11143</v>
      </c>
    </row>
    <row r="599" spans="1:12" ht="30" x14ac:dyDescent="0.25">
      <c r="A599" s="3" t="s">
        <v>1057</v>
      </c>
      <c r="B599" s="4" t="s">
        <v>1058</v>
      </c>
      <c r="C599" s="4" t="s">
        <v>14</v>
      </c>
      <c r="D599" s="4" t="s">
        <v>452</v>
      </c>
      <c r="E599" s="5" t="str">
        <f>"9050020"</f>
        <v>9050020</v>
      </c>
      <c r="F599" s="3" t="s">
        <v>1900</v>
      </c>
      <c r="G599" s="5">
        <v>2107210835</v>
      </c>
      <c r="H599" s="4" t="s">
        <v>1901</v>
      </c>
      <c r="I599" s="4" t="s">
        <v>1070</v>
      </c>
      <c r="J599" s="4" t="s">
        <v>1071</v>
      </c>
      <c r="K599" s="4" t="s">
        <v>1902</v>
      </c>
      <c r="L599" s="5">
        <v>10676</v>
      </c>
    </row>
    <row r="600" spans="1:12" x14ac:dyDescent="0.25">
      <c r="A600" s="3" t="s">
        <v>1057</v>
      </c>
      <c r="B600" s="4" t="s">
        <v>1058</v>
      </c>
      <c r="C600" s="4" t="s">
        <v>14</v>
      </c>
      <c r="D600" s="4" t="s">
        <v>15</v>
      </c>
      <c r="E600" s="5" t="str">
        <f>"9051475"</f>
        <v>9051475</v>
      </c>
      <c r="F600" s="3" t="s">
        <v>1903</v>
      </c>
      <c r="G600" s="5">
        <v>2108314280</v>
      </c>
      <c r="H600" s="4" t="s">
        <v>1904</v>
      </c>
      <c r="I600" s="4" t="s">
        <v>1070</v>
      </c>
      <c r="J600" s="4" t="s">
        <v>1071</v>
      </c>
      <c r="K600" s="4" t="s">
        <v>1905</v>
      </c>
      <c r="L600" s="5">
        <v>11145</v>
      </c>
    </row>
    <row r="601" spans="1:12" x14ac:dyDescent="0.25">
      <c r="A601" s="3" t="s">
        <v>1057</v>
      </c>
      <c r="B601" s="4" t="s">
        <v>1058</v>
      </c>
      <c r="C601" s="4" t="s">
        <v>25</v>
      </c>
      <c r="D601" s="4" t="s">
        <v>26</v>
      </c>
      <c r="E601" s="5" t="str">
        <f>"9051185"</f>
        <v>9051185</v>
      </c>
      <c r="F601" s="3" t="s">
        <v>1906</v>
      </c>
      <c r="G601" s="5">
        <v>2109023288</v>
      </c>
      <c r="H601" s="4" t="s">
        <v>1907</v>
      </c>
      <c r="I601" s="4" t="s">
        <v>1070</v>
      </c>
      <c r="J601" s="4" t="s">
        <v>1071</v>
      </c>
      <c r="K601" s="4" t="s">
        <v>1282</v>
      </c>
      <c r="L601" s="5">
        <v>11743</v>
      </c>
    </row>
    <row r="602" spans="1:12" x14ac:dyDescent="0.25">
      <c r="A602" s="3" t="s">
        <v>1057</v>
      </c>
      <c r="B602" s="4" t="s">
        <v>1058</v>
      </c>
      <c r="C602" s="4" t="s">
        <v>14</v>
      </c>
      <c r="D602" s="4" t="s">
        <v>15</v>
      </c>
      <c r="E602" s="5" t="str">
        <f>"9051360"</f>
        <v>9051360</v>
      </c>
      <c r="F602" s="3" t="s">
        <v>1908</v>
      </c>
      <c r="G602" s="5">
        <v>2102512063</v>
      </c>
      <c r="H602" s="4" t="s">
        <v>1909</v>
      </c>
      <c r="I602" s="4" t="s">
        <v>1257</v>
      </c>
      <c r="J602" s="4" t="s">
        <v>1408</v>
      </c>
      <c r="K602" s="4" t="s">
        <v>1910</v>
      </c>
      <c r="L602" s="5">
        <v>14342</v>
      </c>
    </row>
    <row r="603" spans="1:12" x14ac:dyDescent="0.25">
      <c r="A603" s="3" t="s">
        <v>1057</v>
      </c>
      <c r="B603" s="4" t="s">
        <v>1058</v>
      </c>
      <c r="C603" s="4" t="s">
        <v>14</v>
      </c>
      <c r="D603" s="4" t="s">
        <v>15</v>
      </c>
      <c r="E603" s="5" t="str">
        <f>"9050421"</f>
        <v>9050421</v>
      </c>
      <c r="F603" s="3" t="s">
        <v>1911</v>
      </c>
      <c r="G603" s="5">
        <v>2102510081</v>
      </c>
      <c r="H603" s="4" t="s">
        <v>1912</v>
      </c>
      <c r="I603" s="4" t="s">
        <v>1257</v>
      </c>
      <c r="J603" s="4" t="s">
        <v>1913</v>
      </c>
      <c r="K603" s="4" t="s">
        <v>1914</v>
      </c>
      <c r="L603" s="5">
        <v>14343</v>
      </c>
    </row>
    <row r="604" spans="1:12" x14ac:dyDescent="0.25">
      <c r="A604" s="3" t="s">
        <v>1057</v>
      </c>
      <c r="B604" s="4" t="s">
        <v>1058</v>
      </c>
      <c r="C604" s="4" t="s">
        <v>14</v>
      </c>
      <c r="D604" s="4" t="s">
        <v>15</v>
      </c>
      <c r="E604" s="5" t="str">
        <f>"9051095"</f>
        <v>9051095</v>
      </c>
      <c r="F604" s="3" t="s">
        <v>1915</v>
      </c>
      <c r="G604" s="5">
        <v>2106420890</v>
      </c>
      <c r="H604" s="4" t="s">
        <v>1916</v>
      </c>
      <c r="I604" s="4" t="s">
        <v>1070</v>
      </c>
      <c r="J604" s="4" t="s">
        <v>1917</v>
      </c>
      <c r="K604" s="4" t="s">
        <v>1918</v>
      </c>
      <c r="L604" s="5">
        <v>11474</v>
      </c>
    </row>
    <row r="605" spans="1:12" x14ac:dyDescent="0.25">
      <c r="A605" s="3" t="s">
        <v>1057</v>
      </c>
      <c r="B605" s="4" t="s">
        <v>1058</v>
      </c>
      <c r="C605" s="4" t="s">
        <v>14</v>
      </c>
      <c r="D605" s="4" t="s">
        <v>15</v>
      </c>
      <c r="E605" s="5" t="str">
        <f>"9050462"</f>
        <v>9050462</v>
      </c>
      <c r="F605" s="3" t="s">
        <v>1919</v>
      </c>
      <c r="G605" s="5">
        <v>2102511264</v>
      </c>
      <c r="H605" s="4" t="s">
        <v>1920</v>
      </c>
      <c r="I605" s="4" t="s">
        <v>1257</v>
      </c>
      <c r="J605" s="4" t="s">
        <v>1408</v>
      </c>
      <c r="K605" s="4" t="s">
        <v>1921</v>
      </c>
      <c r="L605" s="5">
        <v>14341</v>
      </c>
    </row>
    <row r="606" spans="1:12" ht="30" x14ac:dyDescent="0.25">
      <c r="A606" s="3" t="s">
        <v>1057</v>
      </c>
      <c r="B606" s="4" t="s">
        <v>1058</v>
      </c>
      <c r="C606" s="4" t="s">
        <v>14</v>
      </c>
      <c r="D606" s="4" t="s">
        <v>15</v>
      </c>
      <c r="E606" s="5" t="str">
        <f>"9050153"</f>
        <v>9050153</v>
      </c>
      <c r="F606" s="3" t="s">
        <v>1922</v>
      </c>
      <c r="G606" s="5">
        <v>2109027582</v>
      </c>
      <c r="H606" s="4" t="s">
        <v>1923</v>
      </c>
      <c r="I606" s="4" t="s">
        <v>1154</v>
      </c>
      <c r="J606" s="4" t="s">
        <v>1318</v>
      </c>
      <c r="K606" s="4" t="s">
        <v>1924</v>
      </c>
      <c r="L606" s="5">
        <v>17234</v>
      </c>
    </row>
    <row r="607" spans="1:12" x14ac:dyDescent="0.25">
      <c r="A607" s="3" t="s">
        <v>1057</v>
      </c>
      <c r="B607" s="4" t="s">
        <v>1058</v>
      </c>
      <c r="C607" s="4" t="s">
        <v>25</v>
      </c>
      <c r="D607" s="4" t="s">
        <v>26</v>
      </c>
      <c r="E607" s="5" t="str">
        <f>"9051556"</f>
        <v>9051556</v>
      </c>
      <c r="F607" s="3" t="s">
        <v>1925</v>
      </c>
      <c r="G607" s="5">
        <v>2107518390</v>
      </c>
      <c r="H607" s="4" t="s">
        <v>1926</v>
      </c>
      <c r="I607" s="4" t="s">
        <v>1070</v>
      </c>
      <c r="J607" s="4" t="s">
        <v>1071</v>
      </c>
      <c r="K607" s="4" t="s">
        <v>1927</v>
      </c>
      <c r="L607" s="5">
        <v>11632</v>
      </c>
    </row>
    <row r="608" spans="1:12" x14ac:dyDescent="0.25">
      <c r="A608" s="3" t="s">
        <v>1057</v>
      </c>
      <c r="B608" s="4" t="s">
        <v>1058</v>
      </c>
      <c r="C608" s="4" t="s">
        <v>14</v>
      </c>
      <c r="D608" s="4" t="s">
        <v>15</v>
      </c>
      <c r="E608" s="5" t="str">
        <f>"9050457"</f>
        <v>9050457</v>
      </c>
      <c r="F608" s="3" t="s">
        <v>1928</v>
      </c>
      <c r="G608" s="5">
        <v>2108673334</v>
      </c>
      <c r="H608" s="4" t="s">
        <v>1929</v>
      </c>
      <c r="I608" s="4" t="s">
        <v>1070</v>
      </c>
      <c r="J608" s="4" t="s">
        <v>1071</v>
      </c>
      <c r="K608" s="4" t="s">
        <v>1930</v>
      </c>
      <c r="L608" s="5">
        <v>11253</v>
      </c>
    </row>
    <row r="609" spans="1:12" x14ac:dyDescent="0.25">
      <c r="A609" s="3" t="s">
        <v>1057</v>
      </c>
      <c r="B609" s="4" t="s">
        <v>1058</v>
      </c>
      <c r="C609" s="4" t="s">
        <v>14</v>
      </c>
      <c r="D609" s="4" t="s">
        <v>15</v>
      </c>
      <c r="E609" s="5" t="str">
        <f>"9050482"</f>
        <v>9050482</v>
      </c>
      <c r="F609" s="3" t="s">
        <v>1931</v>
      </c>
      <c r="G609" s="5">
        <v>2102793406</v>
      </c>
      <c r="H609" s="4" t="s">
        <v>1932</v>
      </c>
      <c r="I609" s="4" t="s">
        <v>1257</v>
      </c>
      <c r="J609" s="4" t="s">
        <v>1933</v>
      </c>
      <c r="K609" s="4" t="s">
        <v>1934</v>
      </c>
      <c r="L609" s="5">
        <v>14342</v>
      </c>
    </row>
    <row r="610" spans="1:12" x14ac:dyDescent="0.25">
      <c r="A610" s="3" t="s">
        <v>1057</v>
      </c>
      <c r="B610" s="4" t="s">
        <v>1058</v>
      </c>
      <c r="C610" s="4" t="s">
        <v>14</v>
      </c>
      <c r="D610" s="4" t="s">
        <v>15</v>
      </c>
      <c r="E610" s="5" t="str">
        <f>"9051718"</f>
        <v>9051718</v>
      </c>
      <c r="F610" s="3" t="s">
        <v>1935</v>
      </c>
      <c r="G610" s="5">
        <v>2105149477</v>
      </c>
      <c r="H610" s="4" t="s">
        <v>1936</v>
      </c>
      <c r="I610" s="4" t="s">
        <v>1070</v>
      </c>
      <c r="J610" s="4" t="s">
        <v>1071</v>
      </c>
      <c r="K610" s="4" t="s">
        <v>1937</v>
      </c>
      <c r="L610" s="5">
        <v>10442</v>
      </c>
    </row>
    <row r="611" spans="1:12" x14ac:dyDescent="0.25">
      <c r="A611" s="3" t="s">
        <v>1057</v>
      </c>
      <c r="B611" s="4" t="s">
        <v>1058</v>
      </c>
      <c r="C611" s="4" t="s">
        <v>14</v>
      </c>
      <c r="D611" s="4" t="s">
        <v>15</v>
      </c>
      <c r="E611" s="5" t="str">
        <f>"9051355"</f>
        <v>9051355</v>
      </c>
      <c r="F611" s="3" t="s">
        <v>1938</v>
      </c>
      <c r="G611" s="5">
        <v>2108812571</v>
      </c>
      <c r="H611" s="4" t="s">
        <v>1939</v>
      </c>
      <c r="I611" s="4" t="s">
        <v>1070</v>
      </c>
      <c r="J611" s="4" t="s">
        <v>1071</v>
      </c>
      <c r="K611" s="4" t="s">
        <v>1940</v>
      </c>
      <c r="L611" s="5">
        <v>11251</v>
      </c>
    </row>
    <row r="612" spans="1:12" x14ac:dyDescent="0.25">
      <c r="A612" s="3" t="s">
        <v>1057</v>
      </c>
      <c r="B612" s="4" t="s">
        <v>1058</v>
      </c>
      <c r="C612" s="4" t="s">
        <v>25</v>
      </c>
      <c r="D612" s="4" t="s">
        <v>26</v>
      </c>
      <c r="E612" s="5" t="str">
        <f>"9050729"</f>
        <v>9050729</v>
      </c>
      <c r="F612" s="3" t="s">
        <v>1941</v>
      </c>
      <c r="G612" s="5">
        <v>2107518390</v>
      </c>
      <c r="H612" s="4" t="s">
        <v>1942</v>
      </c>
      <c r="I612" s="4" t="s">
        <v>1070</v>
      </c>
      <c r="J612" s="4" t="s">
        <v>1071</v>
      </c>
      <c r="K612" s="4" t="s">
        <v>1927</v>
      </c>
      <c r="L612" s="5">
        <v>11632</v>
      </c>
    </row>
    <row r="613" spans="1:12" x14ac:dyDescent="0.25">
      <c r="A613" s="3" t="s">
        <v>1057</v>
      </c>
      <c r="B613" s="4" t="s">
        <v>1058</v>
      </c>
      <c r="C613" s="4" t="s">
        <v>25</v>
      </c>
      <c r="D613" s="4" t="s">
        <v>26</v>
      </c>
      <c r="E613" s="5" t="str">
        <f>"9050534"</f>
        <v>9050534</v>
      </c>
      <c r="F613" s="3" t="s">
        <v>1943</v>
      </c>
      <c r="G613" s="5">
        <v>2111828295</v>
      </c>
      <c r="H613" s="4" t="s">
        <v>1944</v>
      </c>
      <c r="I613" s="4" t="s">
        <v>1070</v>
      </c>
      <c r="J613" s="4" t="s">
        <v>1215</v>
      </c>
      <c r="K613" s="4" t="s">
        <v>1945</v>
      </c>
      <c r="L613" s="5">
        <v>11476</v>
      </c>
    </row>
    <row r="614" spans="1:12" x14ac:dyDescent="0.25">
      <c r="A614" s="3" t="s">
        <v>1057</v>
      </c>
      <c r="B614" s="4" t="s">
        <v>1058</v>
      </c>
      <c r="C614" s="4" t="s">
        <v>14</v>
      </c>
      <c r="D614" s="4" t="s">
        <v>15</v>
      </c>
      <c r="E614" s="5" t="str">
        <f>"9051721"</f>
        <v>9051721</v>
      </c>
      <c r="F614" s="3" t="s">
        <v>1946</v>
      </c>
      <c r="G614" s="5">
        <v>2108640806</v>
      </c>
      <c r="H614" s="4" t="s">
        <v>1947</v>
      </c>
      <c r="I614" s="4" t="s">
        <v>1070</v>
      </c>
      <c r="J614" s="4" t="s">
        <v>1071</v>
      </c>
      <c r="K614" s="4" t="s">
        <v>1792</v>
      </c>
      <c r="L614" s="5">
        <v>11253</v>
      </c>
    </row>
    <row r="615" spans="1:12" x14ac:dyDescent="0.25">
      <c r="A615" s="3" t="s">
        <v>1057</v>
      </c>
      <c r="B615" s="4" t="s">
        <v>1058</v>
      </c>
      <c r="C615" s="4" t="s">
        <v>14</v>
      </c>
      <c r="D615" s="4" t="s">
        <v>15</v>
      </c>
      <c r="E615" s="5" t="str">
        <f>"9050136"</f>
        <v>9050136</v>
      </c>
      <c r="F615" s="3" t="s">
        <v>1948</v>
      </c>
      <c r="G615" s="5">
        <v>2107010496</v>
      </c>
      <c r="H615" s="4" t="s">
        <v>1949</v>
      </c>
      <c r="I615" s="4" t="s">
        <v>1070</v>
      </c>
      <c r="J615" s="4" t="s">
        <v>1339</v>
      </c>
      <c r="K615" s="4" t="s">
        <v>1950</v>
      </c>
      <c r="L615" s="5">
        <v>11632</v>
      </c>
    </row>
    <row r="616" spans="1:12" x14ac:dyDescent="0.25">
      <c r="A616" s="3" t="s">
        <v>1057</v>
      </c>
      <c r="B616" s="4" t="s">
        <v>1058</v>
      </c>
      <c r="C616" s="4" t="s">
        <v>14</v>
      </c>
      <c r="D616" s="4" t="s">
        <v>15</v>
      </c>
      <c r="E616" s="5" t="str">
        <f>"9050535"</f>
        <v>9050535</v>
      </c>
      <c r="F616" s="3" t="s">
        <v>1951</v>
      </c>
      <c r="G616" s="5">
        <v>2102931068</v>
      </c>
      <c r="H616" s="4" t="s">
        <v>1952</v>
      </c>
      <c r="I616" s="4" t="s">
        <v>1295</v>
      </c>
      <c r="J616" s="4" t="s">
        <v>1296</v>
      </c>
      <c r="K616" s="4" t="s">
        <v>1634</v>
      </c>
      <c r="L616" s="5">
        <v>11146</v>
      </c>
    </row>
    <row r="617" spans="1:12" x14ac:dyDescent="0.25">
      <c r="A617" s="3" t="s">
        <v>1057</v>
      </c>
      <c r="B617" s="4" t="s">
        <v>1058</v>
      </c>
      <c r="C617" s="4" t="s">
        <v>25</v>
      </c>
      <c r="D617" s="4" t="s">
        <v>26</v>
      </c>
      <c r="E617" s="5" t="str">
        <f>"9051007"</f>
        <v>9051007</v>
      </c>
      <c r="F617" s="3" t="s">
        <v>1953</v>
      </c>
      <c r="G617" s="5">
        <v>2109022546</v>
      </c>
      <c r="H617" s="4" t="s">
        <v>1954</v>
      </c>
      <c r="I617" s="4" t="s">
        <v>1070</v>
      </c>
      <c r="J617" s="4" t="s">
        <v>1071</v>
      </c>
      <c r="K617" s="4" t="s">
        <v>1696</v>
      </c>
      <c r="L617" s="5">
        <v>11745</v>
      </c>
    </row>
    <row r="618" spans="1:12" x14ac:dyDescent="0.25">
      <c r="A618" s="3" t="s">
        <v>1057</v>
      </c>
      <c r="B618" s="4" t="s">
        <v>1058</v>
      </c>
      <c r="C618" s="4" t="s">
        <v>14</v>
      </c>
      <c r="D618" s="4" t="s">
        <v>15</v>
      </c>
      <c r="E618" s="5" t="str">
        <f>"9050509"</f>
        <v>9050509</v>
      </c>
      <c r="F618" s="3" t="s">
        <v>1955</v>
      </c>
      <c r="G618" s="5">
        <v>2102011026</v>
      </c>
      <c r="H618" s="4" t="s">
        <v>1956</v>
      </c>
      <c r="I618" s="4" t="s">
        <v>1070</v>
      </c>
      <c r="J618" s="4" t="s">
        <v>1071</v>
      </c>
      <c r="K618" s="4" t="s">
        <v>1957</v>
      </c>
      <c r="L618" s="5">
        <v>11141</v>
      </c>
    </row>
    <row r="619" spans="1:12" x14ac:dyDescent="0.25">
      <c r="A619" s="3" t="s">
        <v>1057</v>
      </c>
      <c r="B619" s="4" t="s">
        <v>1058</v>
      </c>
      <c r="C619" s="4" t="s">
        <v>14</v>
      </c>
      <c r="D619" s="4" t="s">
        <v>15</v>
      </c>
      <c r="E619" s="5" t="str">
        <f>"9050538"</f>
        <v>9050538</v>
      </c>
      <c r="F619" s="3" t="s">
        <v>1958</v>
      </c>
      <c r="G619" s="5">
        <v>2102915890</v>
      </c>
      <c r="H619" s="4" t="s">
        <v>1959</v>
      </c>
      <c r="I619" s="4" t="s">
        <v>1295</v>
      </c>
      <c r="J619" s="4" t="s">
        <v>1648</v>
      </c>
      <c r="K619" s="4" t="s">
        <v>1960</v>
      </c>
      <c r="L619" s="5">
        <v>11147</v>
      </c>
    </row>
    <row r="620" spans="1:12" x14ac:dyDescent="0.25">
      <c r="A620" s="3" t="s">
        <v>1057</v>
      </c>
      <c r="B620" s="4" t="s">
        <v>1058</v>
      </c>
      <c r="C620" s="4" t="s">
        <v>14</v>
      </c>
      <c r="D620" s="4" t="s">
        <v>15</v>
      </c>
      <c r="E620" s="5" t="str">
        <f>"9050539"</f>
        <v>9050539</v>
      </c>
      <c r="F620" s="3" t="s">
        <v>1961</v>
      </c>
      <c r="G620" s="5">
        <v>2102915931</v>
      </c>
      <c r="H620" s="4" t="s">
        <v>1962</v>
      </c>
      <c r="I620" s="4" t="s">
        <v>1295</v>
      </c>
      <c r="J620" s="4" t="s">
        <v>1648</v>
      </c>
      <c r="K620" s="4" t="s">
        <v>1525</v>
      </c>
      <c r="L620" s="5">
        <v>11147</v>
      </c>
    </row>
    <row r="621" spans="1:12" x14ac:dyDescent="0.25">
      <c r="A621" s="3" t="s">
        <v>1057</v>
      </c>
      <c r="B621" s="4" t="s">
        <v>1058</v>
      </c>
      <c r="C621" s="4" t="s">
        <v>14</v>
      </c>
      <c r="D621" s="4" t="s">
        <v>15</v>
      </c>
      <c r="E621" s="5" t="str">
        <f>"9050541"</f>
        <v>9050541</v>
      </c>
      <c r="F621" s="3" t="s">
        <v>1963</v>
      </c>
      <c r="G621" s="5">
        <v>2102915780</v>
      </c>
      <c r="H621" s="4" t="s">
        <v>1964</v>
      </c>
      <c r="I621" s="4" t="s">
        <v>1295</v>
      </c>
      <c r="J621" s="4" t="s">
        <v>1296</v>
      </c>
      <c r="K621" s="4" t="s">
        <v>1965</v>
      </c>
      <c r="L621" s="5">
        <v>11146</v>
      </c>
    </row>
    <row r="622" spans="1:12" x14ac:dyDescent="0.25">
      <c r="A622" s="3" t="s">
        <v>1057</v>
      </c>
      <c r="B622" s="4" t="s">
        <v>1058</v>
      </c>
      <c r="C622" s="4" t="s">
        <v>25</v>
      </c>
      <c r="D622" s="4" t="s">
        <v>26</v>
      </c>
      <c r="E622" s="5" t="str">
        <f>"9051019"</f>
        <v>9051019</v>
      </c>
      <c r="F622" s="3" t="s">
        <v>1966</v>
      </c>
      <c r="G622" s="5">
        <v>2109011286</v>
      </c>
      <c r="H622" s="4" t="s">
        <v>1967</v>
      </c>
      <c r="I622" s="4" t="s">
        <v>1070</v>
      </c>
      <c r="J622" s="4" t="s">
        <v>1071</v>
      </c>
      <c r="K622" s="4" t="s">
        <v>1968</v>
      </c>
      <c r="L622" s="5">
        <v>11745</v>
      </c>
    </row>
    <row r="623" spans="1:12" x14ac:dyDescent="0.25">
      <c r="A623" s="3" t="s">
        <v>1057</v>
      </c>
      <c r="B623" s="4" t="s">
        <v>1058</v>
      </c>
      <c r="C623" s="4" t="s">
        <v>14</v>
      </c>
      <c r="D623" s="4" t="s">
        <v>15</v>
      </c>
      <c r="E623" s="5" t="str">
        <f>"9050098"</f>
        <v>9050098</v>
      </c>
      <c r="F623" s="3" t="s">
        <v>1969</v>
      </c>
      <c r="G623" s="5">
        <v>2107010240</v>
      </c>
      <c r="H623" s="4" t="s">
        <v>1970</v>
      </c>
      <c r="I623" s="4" t="s">
        <v>1070</v>
      </c>
      <c r="J623" s="4" t="s">
        <v>1071</v>
      </c>
      <c r="K623" s="4" t="s">
        <v>1971</v>
      </c>
      <c r="L623" s="5">
        <v>11636</v>
      </c>
    </row>
    <row r="624" spans="1:12" x14ac:dyDescent="0.25">
      <c r="A624" s="3" t="s">
        <v>1057</v>
      </c>
      <c r="B624" s="4" t="s">
        <v>1058</v>
      </c>
      <c r="C624" s="4" t="s">
        <v>25</v>
      </c>
      <c r="D624" s="4" t="s">
        <v>26</v>
      </c>
      <c r="E624" s="5" t="str">
        <f>"9050460"</f>
        <v>9050460</v>
      </c>
      <c r="F624" s="3" t="s">
        <v>1972</v>
      </c>
      <c r="G624" s="5">
        <v>2102519004</v>
      </c>
      <c r="H624" s="4" t="s">
        <v>1973</v>
      </c>
      <c r="I624" s="4" t="s">
        <v>1257</v>
      </c>
      <c r="J624" s="4" t="s">
        <v>1974</v>
      </c>
      <c r="K624" s="4" t="s">
        <v>1975</v>
      </c>
      <c r="L624" s="5">
        <v>14341</v>
      </c>
    </row>
    <row r="625" spans="1:12" x14ac:dyDescent="0.25">
      <c r="A625" s="3" t="s">
        <v>1057</v>
      </c>
      <c r="B625" s="4" t="s">
        <v>1058</v>
      </c>
      <c r="C625" s="4" t="s">
        <v>25</v>
      </c>
      <c r="D625" s="4" t="s">
        <v>26</v>
      </c>
      <c r="E625" s="5" t="str">
        <f>"9050452"</f>
        <v>9050452</v>
      </c>
      <c r="F625" s="3" t="s">
        <v>1976</v>
      </c>
      <c r="G625" s="5">
        <v>2102523300</v>
      </c>
      <c r="H625" s="4" t="s">
        <v>1977</v>
      </c>
      <c r="I625" s="4" t="s">
        <v>1070</v>
      </c>
      <c r="J625" s="4" t="s">
        <v>1105</v>
      </c>
      <c r="K625" s="4" t="s">
        <v>1978</v>
      </c>
      <c r="L625" s="5">
        <v>11143</v>
      </c>
    </row>
    <row r="626" spans="1:12" x14ac:dyDescent="0.25">
      <c r="A626" s="3" t="s">
        <v>1057</v>
      </c>
      <c r="B626" s="4" t="s">
        <v>1058</v>
      </c>
      <c r="C626" s="4" t="s">
        <v>25</v>
      </c>
      <c r="D626" s="4" t="s">
        <v>26</v>
      </c>
      <c r="E626" s="5" t="str">
        <f>"9051199"</f>
        <v>9051199</v>
      </c>
      <c r="F626" s="3" t="s">
        <v>1979</v>
      </c>
      <c r="G626" s="5">
        <v>2102283179</v>
      </c>
      <c r="H626" s="4" t="s">
        <v>1980</v>
      </c>
      <c r="I626" s="4" t="s">
        <v>1070</v>
      </c>
      <c r="J626" s="4" t="s">
        <v>1105</v>
      </c>
      <c r="K626" s="4" t="s">
        <v>1981</v>
      </c>
      <c r="L626" s="5">
        <v>11144</v>
      </c>
    </row>
    <row r="627" spans="1:12" x14ac:dyDescent="0.25">
      <c r="A627" s="3" t="s">
        <v>1057</v>
      </c>
      <c r="B627" s="4" t="s">
        <v>1058</v>
      </c>
      <c r="C627" s="4" t="s">
        <v>25</v>
      </c>
      <c r="D627" s="4" t="s">
        <v>26</v>
      </c>
      <c r="E627" s="5" t="str">
        <f>"9051288"</f>
        <v>9051288</v>
      </c>
      <c r="F627" s="3" t="s">
        <v>1982</v>
      </c>
      <c r="G627" s="5">
        <v>2102282317</v>
      </c>
      <c r="H627" s="4" t="s">
        <v>1983</v>
      </c>
      <c r="I627" s="4" t="s">
        <v>1070</v>
      </c>
      <c r="J627" s="4" t="s">
        <v>1105</v>
      </c>
      <c r="K627" s="4" t="s">
        <v>1379</v>
      </c>
      <c r="L627" s="5">
        <v>11255</v>
      </c>
    </row>
    <row r="628" spans="1:12" x14ac:dyDescent="0.25">
      <c r="A628" s="3" t="s">
        <v>1057</v>
      </c>
      <c r="B628" s="4" t="s">
        <v>1058</v>
      </c>
      <c r="C628" s="4" t="s">
        <v>25</v>
      </c>
      <c r="D628" s="4" t="s">
        <v>26</v>
      </c>
      <c r="E628" s="5" t="str">
        <f>"9051494"</f>
        <v>9051494</v>
      </c>
      <c r="F628" s="3" t="s">
        <v>1984</v>
      </c>
      <c r="G628" s="5">
        <v>2108314213</v>
      </c>
      <c r="H628" s="4" t="s">
        <v>1985</v>
      </c>
      <c r="I628" s="4" t="s">
        <v>1070</v>
      </c>
      <c r="J628" s="4" t="s">
        <v>1105</v>
      </c>
      <c r="K628" s="4" t="s">
        <v>1905</v>
      </c>
      <c r="L628" s="5">
        <v>11145</v>
      </c>
    </row>
    <row r="629" spans="1:12" x14ac:dyDescent="0.25">
      <c r="A629" s="3" t="s">
        <v>1057</v>
      </c>
      <c r="B629" s="4" t="s">
        <v>1058</v>
      </c>
      <c r="C629" s="4" t="s">
        <v>14</v>
      </c>
      <c r="D629" s="4" t="s">
        <v>15</v>
      </c>
      <c r="E629" s="5" t="str">
        <f>"9050119"</f>
        <v>9050119</v>
      </c>
      <c r="F629" s="3" t="s">
        <v>1986</v>
      </c>
      <c r="G629" s="5">
        <v>2107665040</v>
      </c>
      <c r="H629" s="4" t="s">
        <v>1987</v>
      </c>
      <c r="I629" s="4" t="s">
        <v>1065</v>
      </c>
      <c r="J629" s="4" t="s">
        <v>1066</v>
      </c>
      <c r="K629" s="4" t="s">
        <v>1988</v>
      </c>
      <c r="L629" s="5">
        <v>16233</v>
      </c>
    </row>
    <row r="630" spans="1:12" x14ac:dyDescent="0.25">
      <c r="A630" s="3" t="s">
        <v>1057</v>
      </c>
      <c r="B630" s="4" t="s">
        <v>1058</v>
      </c>
      <c r="C630" s="4" t="s">
        <v>25</v>
      </c>
      <c r="D630" s="4" t="s">
        <v>26</v>
      </c>
      <c r="E630" s="5" t="str">
        <f>"9051767"</f>
        <v>9051767</v>
      </c>
      <c r="F630" s="3" t="s">
        <v>1989</v>
      </c>
      <c r="G630" s="5">
        <v>2102581072</v>
      </c>
      <c r="H630" s="4" t="s">
        <v>1990</v>
      </c>
      <c r="I630" s="4" t="s">
        <v>1070</v>
      </c>
      <c r="J630" s="4" t="s">
        <v>1105</v>
      </c>
      <c r="K630" s="4" t="s">
        <v>1991</v>
      </c>
      <c r="L630" s="5">
        <v>11142</v>
      </c>
    </row>
    <row r="631" spans="1:12" x14ac:dyDescent="0.25">
      <c r="A631" s="3" t="s">
        <v>1057</v>
      </c>
      <c r="B631" s="4" t="s">
        <v>1058</v>
      </c>
      <c r="C631" s="4" t="s">
        <v>14</v>
      </c>
      <c r="D631" s="4" t="s">
        <v>15</v>
      </c>
      <c r="E631" s="5" t="str">
        <f>"9050135"</f>
        <v>9050135</v>
      </c>
      <c r="F631" s="3" t="s">
        <v>1992</v>
      </c>
      <c r="G631" s="5">
        <v>2107515171</v>
      </c>
      <c r="H631" s="4" t="s">
        <v>1993</v>
      </c>
      <c r="I631" s="4" t="s">
        <v>1070</v>
      </c>
      <c r="J631" s="4" t="s">
        <v>1180</v>
      </c>
      <c r="K631" s="4" t="s">
        <v>1994</v>
      </c>
      <c r="L631" s="5">
        <v>11631</v>
      </c>
    </row>
    <row r="632" spans="1:12" x14ac:dyDescent="0.25">
      <c r="A632" s="3" t="s">
        <v>1057</v>
      </c>
      <c r="B632" s="4" t="s">
        <v>1058</v>
      </c>
      <c r="C632" s="4" t="s">
        <v>25</v>
      </c>
      <c r="D632" s="4" t="s">
        <v>26</v>
      </c>
      <c r="E632" s="5" t="str">
        <f>"9051024"</f>
        <v>9051024</v>
      </c>
      <c r="F632" s="3" t="s">
        <v>1995</v>
      </c>
      <c r="G632" s="5">
        <v>2114118874</v>
      </c>
      <c r="H632" s="4" t="s">
        <v>1996</v>
      </c>
      <c r="I632" s="4" t="s">
        <v>1070</v>
      </c>
      <c r="J632" s="4" t="s">
        <v>1105</v>
      </c>
      <c r="K632" s="4" t="s">
        <v>1333</v>
      </c>
      <c r="L632" s="5">
        <v>11142</v>
      </c>
    </row>
    <row r="633" spans="1:12" x14ac:dyDescent="0.25">
      <c r="A633" s="3" t="s">
        <v>1057</v>
      </c>
      <c r="B633" s="4" t="s">
        <v>1058</v>
      </c>
      <c r="C633" s="4" t="s">
        <v>25</v>
      </c>
      <c r="D633" s="4" t="s">
        <v>26</v>
      </c>
      <c r="E633" s="5" t="str">
        <f>"9051627"</f>
        <v>9051627</v>
      </c>
      <c r="F633" s="3" t="s">
        <v>1997</v>
      </c>
      <c r="G633" s="5">
        <v>2102138827</v>
      </c>
      <c r="H633" s="4" t="s">
        <v>1998</v>
      </c>
      <c r="I633" s="4" t="s">
        <v>1070</v>
      </c>
      <c r="J633" s="4" t="s">
        <v>1105</v>
      </c>
      <c r="K633" s="4" t="s">
        <v>1376</v>
      </c>
      <c r="L633" s="5">
        <v>11142</v>
      </c>
    </row>
    <row r="634" spans="1:12" x14ac:dyDescent="0.25">
      <c r="A634" s="3" t="s">
        <v>1057</v>
      </c>
      <c r="B634" s="4" t="s">
        <v>1058</v>
      </c>
      <c r="C634" s="4" t="s">
        <v>25</v>
      </c>
      <c r="D634" s="4" t="s">
        <v>26</v>
      </c>
      <c r="E634" s="5" t="str">
        <f>"9050844"</f>
        <v>9050844</v>
      </c>
      <c r="F634" s="3" t="s">
        <v>1999</v>
      </c>
      <c r="G634" s="5">
        <v>2102584274</v>
      </c>
      <c r="H634" s="4" t="s">
        <v>2000</v>
      </c>
      <c r="I634" s="4" t="s">
        <v>1257</v>
      </c>
      <c r="J634" s="4" t="s">
        <v>1408</v>
      </c>
      <c r="K634" s="4" t="s">
        <v>2001</v>
      </c>
      <c r="L634" s="5">
        <v>14342</v>
      </c>
    </row>
    <row r="635" spans="1:12" x14ac:dyDescent="0.25">
      <c r="A635" s="3" t="s">
        <v>1057</v>
      </c>
      <c r="B635" s="4" t="s">
        <v>1058</v>
      </c>
      <c r="C635" s="4" t="s">
        <v>25</v>
      </c>
      <c r="D635" s="4" t="s">
        <v>26</v>
      </c>
      <c r="E635" s="5" t="str">
        <f>"9050479"</f>
        <v>9050479</v>
      </c>
      <c r="F635" s="3" t="s">
        <v>2002</v>
      </c>
      <c r="G635" s="5">
        <v>2102524475</v>
      </c>
      <c r="H635" s="4" t="s">
        <v>2003</v>
      </c>
      <c r="I635" s="4" t="s">
        <v>1257</v>
      </c>
      <c r="J635" s="4" t="s">
        <v>1974</v>
      </c>
      <c r="K635" s="4" t="s">
        <v>2004</v>
      </c>
      <c r="L635" s="5">
        <v>14342</v>
      </c>
    </row>
    <row r="636" spans="1:12" x14ac:dyDescent="0.25">
      <c r="A636" s="3" t="s">
        <v>1057</v>
      </c>
      <c r="B636" s="4" t="s">
        <v>1058</v>
      </c>
      <c r="C636" s="4" t="s">
        <v>25</v>
      </c>
      <c r="D636" s="4" t="s">
        <v>26</v>
      </c>
      <c r="E636" s="5" t="str">
        <f>"9051200"</f>
        <v>9051200</v>
      </c>
      <c r="F636" s="3" t="s">
        <v>2005</v>
      </c>
      <c r="G636" s="5">
        <v>2102530413</v>
      </c>
      <c r="H636" s="4" t="s">
        <v>2006</v>
      </c>
      <c r="I636" s="4" t="s">
        <v>1257</v>
      </c>
      <c r="J636" s="4" t="s">
        <v>1974</v>
      </c>
      <c r="K636" s="4" t="s">
        <v>2007</v>
      </c>
      <c r="L636" s="5">
        <v>14342</v>
      </c>
    </row>
    <row r="637" spans="1:12" x14ac:dyDescent="0.25">
      <c r="A637" s="3" t="s">
        <v>1057</v>
      </c>
      <c r="B637" s="4" t="s">
        <v>1058</v>
      </c>
      <c r="C637" s="4" t="s">
        <v>14</v>
      </c>
      <c r="D637" s="4" t="s">
        <v>15</v>
      </c>
      <c r="E637" s="5" t="str">
        <f>"9050449"</f>
        <v>9050449</v>
      </c>
      <c r="F637" s="3" t="s">
        <v>2008</v>
      </c>
      <c r="G637" s="5">
        <v>2108211033</v>
      </c>
      <c r="H637" s="4" t="s">
        <v>2009</v>
      </c>
      <c r="I637" s="4" t="s">
        <v>1070</v>
      </c>
      <c r="J637" s="4" t="s">
        <v>1071</v>
      </c>
      <c r="K637" s="4" t="s">
        <v>2010</v>
      </c>
      <c r="L637" s="5">
        <v>10439</v>
      </c>
    </row>
    <row r="638" spans="1:12" x14ac:dyDescent="0.25">
      <c r="A638" s="3" t="s">
        <v>1057</v>
      </c>
      <c r="B638" s="4" t="s">
        <v>1058</v>
      </c>
      <c r="C638" s="4" t="s">
        <v>25</v>
      </c>
      <c r="D638" s="4" t="s">
        <v>26</v>
      </c>
      <c r="E638" s="5" t="str">
        <f>"9051569"</f>
        <v>9051569</v>
      </c>
      <c r="F638" s="3" t="s">
        <v>2011</v>
      </c>
      <c r="G638" s="5">
        <v>2102525756</v>
      </c>
      <c r="H638" s="4" t="s">
        <v>2012</v>
      </c>
      <c r="I638" s="4" t="s">
        <v>1257</v>
      </c>
      <c r="J638" s="4" t="s">
        <v>1543</v>
      </c>
      <c r="K638" s="4" t="s">
        <v>2013</v>
      </c>
      <c r="L638" s="5">
        <v>14342</v>
      </c>
    </row>
    <row r="639" spans="1:12" x14ac:dyDescent="0.25">
      <c r="A639" s="3" t="s">
        <v>1057</v>
      </c>
      <c r="B639" s="4" t="s">
        <v>1058</v>
      </c>
      <c r="C639" s="4" t="s">
        <v>25</v>
      </c>
      <c r="D639" s="4" t="s">
        <v>26</v>
      </c>
      <c r="E639" s="5" t="str">
        <f>"9051571"</f>
        <v>9051571</v>
      </c>
      <c r="F639" s="3" t="s">
        <v>2014</v>
      </c>
      <c r="G639" s="5">
        <v>2106442911</v>
      </c>
      <c r="H639" s="4" t="s">
        <v>2015</v>
      </c>
      <c r="I639" s="4" t="s">
        <v>1070</v>
      </c>
      <c r="J639" s="4" t="s">
        <v>1105</v>
      </c>
      <c r="K639" s="4" t="s">
        <v>2016</v>
      </c>
      <c r="L639" s="5">
        <v>11522</v>
      </c>
    </row>
    <row r="640" spans="1:12" x14ac:dyDescent="0.25">
      <c r="A640" s="3" t="s">
        <v>1057</v>
      </c>
      <c r="B640" s="4" t="s">
        <v>1058</v>
      </c>
      <c r="C640" s="4" t="s">
        <v>25</v>
      </c>
      <c r="D640" s="4" t="s">
        <v>26</v>
      </c>
      <c r="E640" s="5" t="str">
        <f>"9051884"</f>
        <v>9051884</v>
      </c>
      <c r="F640" s="3" t="s">
        <v>2017</v>
      </c>
      <c r="G640" s="5">
        <v>2102516164</v>
      </c>
      <c r="H640" s="4" t="s">
        <v>2018</v>
      </c>
      <c r="I640" s="4" t="s">
        <v>1257</v>
      </c>
      <c r="J640" s="4" t="s">
        <v>1543</v>
      </c>
      <c r="K640" s="4" t="s">
        <v>2019</v>
      </c>
      <c r="L640" s="5">
        <v>14341</v>
      </c>
    </row>
    <row r="641" spans="1:12" x14ac:dyDescent="0.25">
      <c r="A641" s="3" t="s">
        <v>1057</v>
      </c>
      <c r="B641" s="4" t="s">
        <v>1058</v>
      </c>
      <c r="C641" s="4" t="s">
        <v>25</v>
      </c>
      <c r="D641" s="4" t="s">
        <v>26</v>
      </c>
      <c r="E641" s="5" t="str">
        <f>"9051197"</f>
        <v>9051197</v>
      </c>
      <c r="F641" s="3" t="s">
        <v>2020</v>
      </c>
      <c r="G641" s="5">
        <v>2102532111</v>
      </c>
      <c r="H641" s="4" t="s">
        <v>2021</v>
      </c>
      <c r="I641" s="4" t="s">
        <v>1257</v>
      </c>
      <c r="J641" s="4" t="s">
        <v>1913</v>
      </c>
      <c r="K641" s="4" t="s">
        <v>2022</v>
      </c>
      <c r="L641" s="5">
        <v>14343</v>
      </c>
    </row>
    <row r="642" spans="1:12" x14ac:dyDescent="0.25">
      <c r="A642" s="3" t="s">
        <v>1057</v>
      </c>
      <c r="B642" s="4" t="s">
        <v>1058</v>
      </c>
      <c r="C642" s="4" t="s">
        <v>14</v>
      </c>
      <c r="D642" s="4" t="s">
        <v>15</v>
      </c>
      <c r="E642" s="5" t="str">
        <f>"9051726"</f>
        <v>9051726</v>
      </c>
      <c r="F642" s="3" t="s">
        <v>2023</v>
      </c>
      <c r="G642" s="5">
        <v>2102926452</v>
      </c>
      <c r="H642" s="4" t="s">
        <v>2024</v>
      </c>
      <c r="I642" s="4" t="s">
        <v>1295</v>
      </c>
      <c r="J642" s="4" t="s">
        <v>1296</v>
      </c>
      <c r="K642" s="4" t="s">
        <v>1506</v>
      </c>
      <c r="L642" s="5">
        <v>11147</v>
      </c>
    </row>
    <row r="643" spans="1:12" x14ac:dyDescent="0.25">
      <c r="A643" s="3" t="s">
        <v>1057</v>
      </c>
      <c r="B643" s="4" t="s">
        <v>1058</v>
      </c>
      <c r="C643" s="4" t="s">
        <v>14</v>
      </c>
      <c r="D643" s="4" t="s">
        <v>15</v>
      </c>
      <c r="E643" s="5" t="str">
        <f>"9050107"</f>
        <v>9050107</v>
      </c>
      <c r="F643" s="3" t="s">
        <v>2025</v>
      </c>
      <c r="G643" s="5">
        <v>2109237197</v>
      </c>
      <c r="H643" s="4" t="s">
        <v>2026</v>
      </c>
      <c r="I643" s="4" t="s">
        <v>1070</v>
      </c>
      <c r="J643" s="4" t="s">
        <v>1071</v>
      </c>
      <c r="K643" s="4" t="s">
        <v>2027</v>
      </c>
      <c r="L643" s="5">
        <v>11745</v>
      </c>
    </row>
    <row r="644" spans="1:12" x14ac:dyDescent="0.25">
      <c r="A644" s="3" t="s">
        <v>1057</v>
      </c>
      <c r="B644" s="4" t="s">
        <v>1058</v>
      </c>
      <c r="C644" s="4" t="s">
        <v>25</v>
      </c>
      <c r="D644" s="4" t="s">
        <v>26</v>
      </c>
      <c r="E644" s="5" t="str">
        <f>"9051381"</f>
        <v>9051381</v>
      </c>
      <c r="F644" s="3" t="s">
        <v>2028</v>
      </c>
      <c r="G644" s="5">
        <v>2108650063</v>
      </c>
      <c r="H644" s="4" t="s">
        <v>2029</v>
      </c>
      <c r="I644" s="4" t="s">
        <v>1070</v>
      </c>
      <c r="J644" s="4" t="s">
        <v>1105</v>
      </c>
      <c r="K644" s="4" t="s">
        <v>1467</v>
      </c>
      <c r="L644" s="5">
        <v>10446</v>
      </c>
    </row>
    <row r="645" spans="1:12" x14ac:dyDescent="0.25">
      <c r="A645" s="3" t="s">
        <v>1057</v>
      </c>
      <c r="B645" s="4" t="s">
        <v>1058</v>
      </c>
      <c r="C645" s="4" t="s">
        <v>25</v>
      </c>
      <c r="D645" s="4" t="s">
        <v>26</v>
      </c>
      <c r="E645" s="5" t="str">
        <f>"9050111"</f>
        <v>9050111</v>
      </c>
      <c r="F645" s="3" t="s">
        <v>2030</v>
      </c>
      <c r="G645" s="5">
        <v>2109218784</v>
      </c>
      <c r="H645" s="4" t="s">
        <v>2031</v>
      </c>
      <c r="I645" s="4" t="s">
        <v>1070</v>
      </c>
      <c r="J645" s="4" t="s">
        <v>1071</v>
      </c>
      <c r="K645" s="4" t="s">
        <v>2027</v>
      </c>
      <c r="L645" s="5">
        <v>11745</v>
      </c>
    </row>
    <row r="646" spans="1:12" x14ac:dyDescent="0.25">
      <c r="A646" s="3" t="s">
        <v>1057</v>
      </c>
      <c r="B646" s="4" t="s">
        <v>1058</v>
      </c>
      <c r="C646" s="4" t="s">
        <v>14</v>
      </c>
      <c r="D646" s="4" t="s">
        <v>15</v>
      </c>
      <c r="E646" s="5" t="str">
        <f>"9050028"</f>
        <v>9050028</v>
      </c>
      <c r="F646" s="3" t="s">
        <v>2032</v>
      </c>
      <c r="G646" s="5">
        <v>2107772974</v>
      </c>
      <c r="H646" s="4" t="s">
        <v>2033</v>
      </c>
      <c r="I646" s="4" t="s">
        <v>1070</v>
      </c>
      <c r="J646" s="4" t="s">
        <v>1071</v>
      </c>
      <c r="K646" s="4" t="s">
        <v>1679</v>
      </c>
      <c r="L646" s="5">
        <v>11527</v>
      </c>
    </row>
    <row r="647" spans="1:12" x14ac:dyDescent="0.25">
      <c r="A647" s="3" t="s">
        <v>1057</v>
      </c>
      <c r="B647" s="4" t="s">
        <v>1058</v>
      </c>
      <c r="C647" s="4" t="s">
        <v>25</v>
      </c>
      <c r="D647" s="4" t="s">
        <v>26</v>
      </c>
      <c r="E647" s="5" t="str">
        <f>"9050787"</f>
        <v>9050787</v>
      </c>
      <c r="F647" s="3" t="s">
        <v>2034</v>
      </c>
      <c r="G647" s="5">
        <v>2102917293</v>
      </c>
      <c r="H647" s="4" t="s">
        <v>2035</v>
      </c>
      <c r="I647" s="4" t="s">
        <v>1295</v>
      </c>
      <c r="J647" s="4" t="s">
        <v>1296</v>
      </c>
      <c r="K647" s="4" t="s">
        <v>1525</v>
      </c>
      <c r="L647" s="5">
        <v>11147</v>
      </c>
    </row>
    <row r="648" spans="1:12" x14ac:dyDescent="0.25">
      <c r="A648" s="3" t="s">
        <v>1057</v>
      </c>
      <c r="B648" s="4" t="s">
        <v>1058</v>
      </c>
      <c r="C648" s="4" t="s">
        <v>25</v>
      </c>
      <c r="D648" s="4" t="s">
        <v>26</v>
      </c>
      <c r="E648" s="5" t="str">
        <f>"9051896"</f>
        <v>9051896</v>
      </c>
      <c r="F648" s="3" t="s">
        <v>2036</v>
      </c>
      <c r="G648" s="5">
        <v>2102138132</v>
      </c>
      <c r="H648" s="4" t="s">
        <v>2037</v>
      </c>
      <c r="I648" s="4" t="s">
        <v>1295</v>
      </c>
      <c r="J648" s="4" t="s">
        <v>1296</v>
      </c>
      <c r="K648" s="4" t="s">
        <v>1525</v>
      </c>
      <c r="L648" s="5">
        <v>11147</v>
      </c>
    </row>
    <row r="649" spans="1:12" x14ac:dyDescent="0.25">
      <c r="A649" s="3" t="s">
        <v>1057</v>
      </c>
      <c r="B649" s="4" t="s">
        <v>1058</v>
      </c>
      <c r="C649" s="4" t="s">
        <v>25</v>
      </c>
      <c r="D649" s="4" t="s">
        <v>26</v>
      </c>
      <c r="E649" s="5" t="str">
        <f>"9051393"</f>
        <v>9051393</v>
      </c>
      <c r="F649" s="3" t="s">
        <v>2038</v>
      </c>
      <c r="G649" s="5">
        <v>2107774786</v>
      </c>
      <c r="H649" s="4" t="s">
        <v>2039</v>
      </c>
      <c r="I649" s="4" t="s">
        <v>1070</v>
      </c>
      <c r="J649" s="4" t="s">
        <v>1105</v>
      </c>
      <c r="K649" s="4" t="s">
        <v>1679</v>
      </c>
      <c r="L649" s="5">
        <v>11527</v>
      </c>
    </row>
    <row r="650" spans="1:12" x14ac:dyDescent="0.25">
      <c r="A650" s="3" t="s">
        <v>1057</v>
      </c>
      <c r="B650" s="4" t="s">
        <v>1058</v>
      </c>
      <c r="C650" s="4" t="s">
        <v>25</v>
      </c>
      <c r="D650" s="4" t="s">
        <v>26</v>
      </c>
      <c r="E650" s="5" t="str">
        <f>"9051766"</f>
        <v>9051766</v>
      </c>
      <c r="F650" s="3" t="s">
        <v>2040</v>
      </c>
      <c r="G650" s="5">
        <v>2107787825</v>
      </c>
      <c r="H650" s="4" t="s">
        <v>2041</v>
      </c>
      <c r="I650" s="4" t="s">
        <v>1070</v>
      </c>
      <c r="J650" s="4" t="s">
        <v>2042</v>
      </c>
      <c r="K650" s="4" t="s">
        <v>2043</v>
      </c>
      <c r="L650" s="5">
        <v>11527</v>
      </c>
    </row>
    <row r="651" spans="1:12" x14ac:dyDescent="0.25">
      <c r="A651" s="3" t="s">
        <v>1057</v>
      </c>
      <c r="B651" s="4" t="s">
        <v>1058</v>
      </c>
      <c r="C651" s="4" t="s">
        <v>25</v>
      </c>
      <c r="D651" s="4" t="s">
        <v>26</v>
      </c>
      <c r="E651" s="5" t="str">
        <f>"9050982"</f>
        <v>9050982</v>
      </c>
      <c r="F651" s="3" t="s">
        <v>2044</v>
      </c>
      <c r="G651" s="5">
        <v>2102520872</v>
      </c>
      <c r="H651" s="4" t="s">
        <v>2045</v>
      </c>
      <c r="I651" s="4" t="s">
        <v>1257</v>
      </c>
      <c r="J651" s="4" t="s">
        <v>2046</v>
      </c>
      <c r="K651" s="4" t="s">
        <v>2047</v>
      </c>
      <c r="L651" s="5">
        <v>14343</v>
      </c>
    </row>
    <row r="652" spans="1:12" x14ac:dyDescent="0.25">
      <c r="A652" s="3" t="s">
        <v>1057</v>
      </c>
      <c r="B652" s="4" t="s">
        <v>1058</v>
      </c>
      <c r="C652" s="4" t="s">
        <v>14</v>
      </c>
      <c r="D652" s="4" t="s">
        <v>15</v>
      </c>
      <c r="E652" s="5" t="str">
        <f>"9050099"</f>
        <v>9050099</v>
      </c>
      <c r="F652" s="3" t="s">
        <v>2048</v>
      </c>
      <c r="G652" s="5">
        <v>2107512865</v>
      </c>
      <c r="H652" s="4" t="s">
        <v>2049</v>
      </c>
      <c r="I652" s="4" t="s">
        <v>1070</v>
      </c>
      <c r="J652" s="4" t="s">
        <v>1071</v>
      </c>
      <c r="K652" s="4" t="s">
        <v>1361</v>
      </c>
      <c r="L652" s="5">
        <v>11633</v>
      </c>
    </row>
    <row r="653" spans="1:12" x14ac:dyDescent="0.25">
      <c r="A653" s="3" t="s">
        <v>1057</v>
      </c>
      <c r="B653" s="4" t="s">
        <v>1058</v>
      </c>
      <c r="C653" s="4" t="s">
        <v>25</v>
      </c>
      <c r="D653" s="4" t="s">
        <v>26</v>
      </c>
      <c r="E653" s="5" t="str">
        <f>"9050690"</f>
        <v>9050690</v>
      </c>
      <c r="F653" s="3" t="s">
        <v>2050</v>
      </c>
      <c r="G653" s="5">
        <v>2107219051</v>
      </c>
      <c r="H653" s="4" t="s">
        <v>2051</v>
      </c>
      <c r="I653" s="4" t="s">
        <v>1070</v>
      </c>
      <c r="J653" s="4" t="s">
        <v>1071</v>
      </c>
      <c r="K653" s="4" t="s">
        <v>2052</v>
      </c>
      <c r="L653" s="5">
        <v>11521</v>
      </c>
    </row>
    <row r="654" spans="1:12" x14ac:dyDescent="0.25">
      <c r="A654" s="3" t="s">
        <v>1057</v>
      </c>
      <c r="B654" s="4" t="s">
        <v>1058</v>
      </c>
      <c r="C654" s="4" t="s">
        <v>14</v>
      </c>
      <c r="D654" s="4" t="s">
        <v>15</v>
      </c>
      <c r="E654" s="5" t="str">
        <f>"9051260"</f>
        <v>9051260</v>
      </c>
      <c r="F654" s="3" t="s">
        <v>2053</v>
      </c>
      <c r="G654" s="5">
        <v>2107654519</v>
      </c>
      <c r="H654" s="4" t="s">
        <v>2054</v>
      </c>
      <c r="I654" s="4" t="s">
        <v>1065</v>
      </c>
      <c r="J654" s="4" t="s">
        <v>1066</v>
      </c>
      <c r="K654" s="4" t="s">
        <v>1190</v>
      </c>
      <c r="L654" s="5">
        <v>16232</v>
      </c>
    </row>
    <row r="655" spans="1:12" x14ac:dyDescent="0.25">
      <c r="A655" s="3" t="s">
        <v>1057</v>
      </c>
      <c r="B655" s="4" t="s">
        <v>1058</v>
      </c>
      <c r="C655" s="4" t="s">
        <v>25</v>
      </c>
      <c r="D655" s="4" t="s">
        <v>26</v>
      </c>
      <c r="E655" s="5" t="str">
        <f>"9050976"</f>
        <v>9050976</v>
      </c>
      <c r="F655" s="3" t="s">
        <v>2055</v>
      </c>
      <c r="G655" s="5">
        <v>2106983354</v>
      </c>
      <c r="H655" s="4" t="s">
        <v>2056</v>
      </c>
      <c r="I655" s="4" t="s">
        <v>1070</v>
      </c>
      <c r="J655" s="4" t="s">
        <v>1105</v>
      </c>
      <c r="K655" s="4" t="s">
        <v>1246</v>
      </c>
      <c r="L655" s="5">
        <v>11526</v>
      </c>
    </row>
    <row r="656" spans="1:12" x14ac:dyDescent="0.25">
      <c r="A656" s="3" t="s">
        <v>1057</v>
      </c>
      <c r="B656" s="4" t="s">
        <v>1058</v>
      </c>
      <c r="C656" s="4" t="s">
        <v>14</v>
      </c>
      <c r="D656" s="4" t="s">
        <v>15</v>
      </c>
      <c r="E656" s="5" t="str">
        <f>"9051090"</f>
        <v>9051090</v>
      </c>
      <c r="F656" s="3" t="s">
        <v>2057</v>
      </c>
      <c r="G656" s="5">
        <v>2102530900</v>
      </c>
      <c r="H656" s="4" t="s">
        <v>2058</v>
      </c>
      <c r="I656" s="4" t="s">
        <v>1070</v>
      </c>
      <c r="J656" s="4" t="s">
        <v>1071</v>
      </c>
      <c r="K656" s="4" t="s">
        <v>1978</v>
      </c>
      <c r="L656" s="5">
        <v>11143</v>
      </c>
    </row>
    <row r="657" spans="1:12" x14ac:dyDescent="0.25">
      <c r="A657" s="3" t="s">
        <v>1057</v>
      </c>
      <c r="B657" s="4" t="s">
        <v>1058</v>
      </c>
      <c r="C657" s="4" t="s">
        <v>14</v>
      </c>
      <c r="D657" s="4" t="s">
        <v>15</v>
      </c>
      <c r="E657" s="5" t="str">
        <f>"9051257"</f>
        <v>9051257</v>
      </c>
      <c r="F657" s="3" t="s">
        <v>2059</v>
      </c>
      <c r="G657" s="5">
        <v>2109021168</v>
      </c>
      <c r="H657" s="4" t="s">
        <v>2060</v>
      </c>
      <c r="I657" s="4" t="s">
        <v>1070</v>
      </c>
      <c r="J657" s="4" t="s">
        <v>1071</v>
      </c>
      <c r="K657" s="4" t="s">
        <v>1282</v>
      </c>
      <c r="L657" s="5">
        <v>11743</v>
      </c>
    </row>
    <row r="658" spans="1:12" x14ac:dyDescent="0.25">
      <c r="A658" s="3" t="s">
        <v>1057</v>
      </c>
      <c r="B658" s="4" t="s">
        <v>1058</v>
      </c>
      <c r="C658" s="4" t="s">
        <v>25</v>
      </c>
      <c r="D658" s="4" t="s">
        <v>26</v>
      </c>
      <c r="E658" s="5" t="str">
        <f>"9051621"</f>
        <v>9051621</v>
      </c>
      <c r="F658" s="3" t="s">
        <v>2061</v>
      </c>
      <c r="G658" s="5">
        <v>2106426888</v>
      </c>
      <c r="H658" s="4" t="s">
        <v>2062</v>
      </c>
      <c r="I658" s="4" t="s">
        <v>1070</v>
      </c>
      <c r="J658" s="4" t="s">
        <v>1105</v>
      </c>
      <c r="K658" s="4" t="s">
        <v>1752</v>
      </c>
      <c r="L658" s="5">
        <v>11474</v>
      </c>
    </row>
    <row r="659" spans="1:12" x14ac:dyDescent="0.25">
      <c r="A659" s="3" t="s">
        <v>1057</v>
      </c>
      <c r="B659" s="4" t="s">
        <v>1058</v>
      </c>
      <c r="C659" s="4" t="s">
        <v>25</v>
      </c>
      <c r="D659" s="4" t="s">
        <v>26</v>
      </c>
      <c r="E659" s="5" t="str">
        <f>"9050689"</f>
        <v>9050689</v>
      </c>
      <c r="F659" s="3" t="s">
        <v>2063</v>
      </c>
      <c r="G659" s="5">
        <v>2103632385</v>
      </c>
      <c r="H659" s="4" t="s">
        <v>2064</v>
      </c>
      <c r="I659" s="4" t="s">
        <v>1070</v>
      </c>
      <c r="J659" s="4" t="s">
        <v>1105</v>
      </c>
      <c r="K659" s="4" t="s">
        <v>2065</v>
      </c>
      <c r="L659" s="5">
        <v>10672</v>
      </c>
    </row>
    <row r="660" spans="1:12" x14ac:dyDescent="0.25">
      <c r="A660" s="3" t="s">
        <v>1057</v>
      </c>
      <c r="B660" s="4" t="s">
        <v>1058</v>
      </c>
      <c r="C660" s="4" t="s">
        <v>25</v>
      </c>
      <c r="D660" s="4" t="s">
        <v>26</v>
      </c>
      <c r="E660" s="5" t="str">
        <f>"9050730"</f>
        <v>9050730</v>
      </c>
      <c r="F660" s="3" t="s">
        <v>2066</v>
      </c>
      <c r="G660" s="5">
        <v>2109220158</v>
      </c>
      <c r="H660" s="4" t="s">
        <v>2067</v>
      </c>
      <c r="I660" s="4" t="s">
        <v>1070</v>
      </c>
      <c r="J660" s="4" t="s">
        <v>1071</v>
      </c>
      <c r="K660" s="4" t="s">
        <v>2068</v>
      </c>
      <c r="L660" s="5">
        <v>11743</v>
      </c>
    </row>
    <row r="661" spans="1:12" x14ac:dyDescent="0.25">
      <c r="A661" s="3" t="s">
        <v>1057</v>
      </c>
      <c r="B661" s="4" t="s">
        <v>1058</v>
      </c>
      <c r="C661" s="4" t="s">
        <v>25</v>
      </c>
      <c r="D661" s="4" t="s">
        <v>26</v>
      </c>
      <c r="E661" s="5" t="str">
        <f>"9051186"</f>
        <v>9051186</v>
      </c>
      <c r="F661" s="3" t="s">
        <v>2069</v>
      </c>
      <c r="G661" s="5">
        <v>2109220158</v>
      </c>
      <c r="H661" s="4" t="s">
        <v>2070</v>
      </c>
      <c r="I661" s="4" t="s">
        <v>1070</v>
      </c>
      <c r="J661" s="4" t="s">
        <v>1071</v>
      </c>
      <c r="K661" s="4" t="s">
        <v>2068</v>
      </c>
      <c r="L661" s="5">
        <v>11743</v>
      </c>
    </row>
    <row r="662" spans="1:12" x14ac:dyDescent="0.25">
      <c r="A662" s="3" t="s">
        <v>1057</v>
      </c>
      <c r="B662" s="4" t="s">
        <v>1058</v>
      </c>
      <c r="C662" s="4" t="s">
        <v>14</v>
      </c>
      <c r="D662" s="4" t="s">
        <v>15</v>
      </c>
      <c r="E662" s="5" t="str">
        <f>"9050008"</f>
        <v>9050008</v>
      </c>
      <c r="F662" s="3" t="s">
        <v>2071</v>
      </c>
      <c r="G662" s="5">
        <v>2107216722</v>
      </c>
      <c r="H662" s="4" t="s">
        <v>2072</v>
      </c>
      <c r="I662" s="4" t="s">
        <v>1070</v>
      </c>
      <c r="J662" s="4" t="s">
        <v>2073</v>
      </c>
      <c r="K662" s="4" t="s">
        <v>2052</v>
      </c>
      <c r="L662" s="5">
        <v>11521</v>
      </c>
    </row>
    <row r="663" spans="1:12" x14ac:dyDescent="0.25">
      <c r="A663" s="3" t="s">
        <v>1057</v>
      </c>
      <c r="B663" s="4" t="s">
        <v>1058</v>
      </c>
      <c r="C663" s="4" t="s">
        <v>14</v>
      </c>
      <c r="D663" s="4" t="s">
        <v>15</v>
      </c>
      <c r="E663" s="5" t="str">
        <f>"9051087"</f>
        <v>9051087</v>
      </c>
      <c r="F663" s="3" t="s">
        <v>2074</v>
      </c>
      <c r="G663" s="5">
        <v>2109015595</v>
      </c>
      <c r="H663" s="4" t="s">
        <v>2075</v>
      </c>
      <c r="I663" s="4" t="s">
        <v>1070</v>
      </c>
      <c r="J663" s="4" t="s">
        <v>1071</v>
      </c>
      <c r="K663" s="4" t="s">
        <v>1696</v>
      </c>
      <c r="L663" s="5">
        <v>11745</v>
      </c>
    </row>
    <row r="664" spans="1:12" x14ac:dyDescent="0.25">
      <c r="A664" s="3" t="s">
        <v>1057</v>
      </c>
      <c r="B664" s="4" t="s">
        <v>1058</v>
      </c>
      <c r="C664" s="4" t="s">
        <v>25</v>
      </c>
      <c r="D664" s="4" t="s">
        <v>26</v>
      </c>
      <c r="E664" s="5" t="str">
        <f>"9051348"</f>
        <v>9051348</v>
      </c>
      <c r="F664" s="3" t="s">
        <v>2076</v>
      </c>
      <c r="G664" s="5">
        <v>2109024200</v>
      </c>
      <c r="H664" s="4" t="s">
        <v>2077</v>
      </c>
      <c r="I664" s="4" t="s">
        <v>1070</v>
      </c>
      <c r="J664" s="4" t="s">
        <v>1071</v>
      </c>
      <c r="K664" s="4" t="s">
        <v>2078</v>
      </c>
      <c r="L664" s="5">
        <v>11631</v>
      </c>
    </row>
    <row r="665" spans="1:12" x14ac:dyDescent="0.25">
      <c r="A665" s="3" t="s">
        <v>1057</v>
      </c>
      <c r="B665" s="4" t="s">
        <v>1058</v>
      </c>
      <c r="C665" s="4" t="s">
        <v>25</v>
      </c>
      <c r="D665" s="4" t="s">
        <v>26</v>
      </c>
      <c r="E665" s="5" t="str">
        <f>"9050697"</f>
        <v>9050697</v>
      </c>
      <c r="F665" s="3" t="s">
        <v>2079</v>
      </c>
      <c r="G665" s="5">
        <v>2106431687</v>
      </c>
      <c r="H665" s="4" t="s">
        <v>2080</v>
      </c>
      <c r="I665" s="4" t="s">
        <v>1070</v>
      </c>
      <c r="J665" s="4" t="s">
        <v>1105</v>
      </c>
      <c r="K665" s="4" t="s">
        <v>2081</v>
      </c>
      <c r="L665" s="5">
        <v>11522</v>
      </c>
    </row>
    <row r="666" spans="1:12" x14ac:dyDescent="0.25">
      <c r="A666" s="3" t="s">
        <v>1057</v>
      </c>
      <c r="B666" s="4" t="s">
        <v>1058</v>
      </c>
      <c r="C666" s="4" t="s">
        <v>14</v>
      </c>
      <c r="D666" s="4" t="s">
        <v>15</v>
      </c>
      <c r="E666" s="5" t="str">
        <f>"9050445"</f>
        <v>9050445</v>
      </c>
      <c r="F666" s="3" t="s">
        <v>2082</v>
      </c>
      <c r="G666" s="5">
        <v>2108657770</v>
      </c>
      <c r="H666" s="4" t="s">
        <v>2083</v>
      </c>
      <c r="I666" s="4" t="s">
        <v>1070</v>
      </c>
      <c r="J666" s="4" t="s">
        <v>1071</v>
      </c>
      <c r="K666" s="4" t="s">
        <v>2084</v>
      </c>
      <c r="L666" s="5">
        <v>10446</v>
      </c>
    </row>
    <row r="667" spans="1:12" x14ac:dyDescent="0.25">
      <c r="A667" s="3" t="s">
        <v>1057</v>
      </c>
      <c r="B667" s="4" t="s">
        <v>1058</v>
      </c>
      <c r="C667" s="4" t="s">
        <v>14</v>
      </c>
      <c r="D667" s="4" t="s">
        <v>15</v>
      </c>
      <c r="E667" s="5" t="str">
        <f>"9050006"</f>
        <v>9050006</v>
      </c>
      <c r="F667" s="3" t="s">
        <v>2085</v>
      </c>
      <c r="G667" s="5">
        <v>2106464920</v>
      </c>
      <c r="H667" s="4" t="s">
        <v>2086</v>
      </c>
      <c r="I667" s="4" t="s">
        <v>1070</v>
      </c>
      <c r="J667" s="4" t="s">
        <v>1071</v>
      </c>
      <c r="K667" s="4" t="s">
        <v>2087</v>
      </c>
      <c r="L667" s="5">
        <v>11522</v>
      </c>
    </row>
    <row r="668" spans="1:12" x14ac:dyDescent="0.25">
      <c r="A668" s="3" t="s">
        <v>1057</v>
      </c>
      <c r="B668" s="4" t="s">
        <v>1058</v>
      </c>
      <c r="C668" s="4" t="s">
        <v>25</v>
      </c>
      <c r="D668" s="4" t="s">
        <v>26</v>
      </c>
      <c r="E668" s="5" t="str">
        <f>"9051817"</f>
        <v>9051817</v>
      </c>
      <c r="F668" s="3" t="s">
        <v>2088</v>
      </c>
      <c r="G668" s="5">
        <v>2109211919</v>
      </c>
      <c r="H668" s="4" t="s">
        <v>2089</v>
      </c>
      <c r="I668" s="4" t="s">
        <v>1070</v>
      </c>
      <c r="J668" s="4" t="s">
        <v>1071</v>
      </c>
      <c r="K668" s="4" t="s">
        <v>2027</v>
      </c>
      <c r="L668" s="5">
        <v>11745</v>
      </c>
    </row>
    <row r="669" spans="1:12" x14ac:dyDescent="0.25">
      <c r="A669" s="3" t="s">
        <v>1057</v>
      </c>
      <c r="B669" s="4" t="s">
        <v>1058</v>
      </c>
      <c r="C669" s="4" t="s">
        <v>14</v>
      </c>
      <c r="D669" s="4" t="s">
        <v>15</v>
      </c>
      <c r="E669" s="5" t="str">
        <f>"9050898"</f>
        <v>9050898</v>
      </c>
      <c r="F669" s="3" t="s">
        <v>2090</v>
      </c>
      <c r="G669" s="5">
        <v>2107518298</v>
      </c>
      <c r="H669" s="4" t="s">
        <v>2091</v>
      </c>
      <c r="I669" s="4" t="s">
        <v>1070</v>
      </c>
      <c r="J669" s="4" t="s">
        <v>1105</v>
      </c>
      <c r="K669" s="4" t="s">
        <v>2092</v>
      </c>
      <c r="L669" s="5">
        <v>11631</v>
      </c>
    </row>
    <row r="670" spans="1:12" x14ac:dyDescent="0.25">
      <c r="A670" s="3" t="s">
        <v>1057</v>
      </c>
      <c r="B670" s="4" t="s">
        <v>1058</v>
      </c>
      <c r="C670" s="4" t="s">
        <v>25</v>
      </c>
      <c r="D670" s="4" t="s">
        <v>26</v>
      </c>
      <c r="E670" s="5" t="str">
        <f>"9051921"</f>
        <v>9051921</v>
      </c>
      <c r="F670" s="3" t="s">
        <v>2093</v>
      </c>
      <c r="G670" s="5">
        <v>2105136478</v>
      </c>
      <c r="H670" s="4" t="s">
        <v>2094</v>
      </c>
      <c r="I670" s="4" t="s">
        <v>1070</v>
      </c>
      <c r="J670" s="4" t="s">
        <v>1071</v>
      </c>
      <c r="K670" s="4" t="s">
        <v>2095</v>
      </c>
      <c r="L670" s="5">
        <v>10443</v>
      </c>
    </row>
    <row r="671" spans="1:12" x14ac:dyDescent="0.25">
      <c r="A671" s="3" t="s">
        <v>1057</v>
      </c>
      <c r="B671" s="4" t="s">
        <v>1058</v>
      </c>
      <c r="C671" s="4" t="s">
        <v>14</v>
      </c>
      <c r="D671" s="4" t="s">
        <v>15</v>
      </c>
      <c r="E671" s="5" t="str">
        <f>"9050526"</f>
        <v>9050526</v>
      </c>
      <c r="F671" s="3" t="s">
        <v>2096</v>
      </c>
      <c r="G671" s="5">
        <v>2103827803</v>
      </c>
      <c r="H671" s="4" t="s">
        <v>2097</v>
      </c>
      <c r="I671" s="4" t="s">
        <v>1070</v>
      </c>
      <c r="J671" s="4" t="s">
        <v>1071</v>
      </c>
      <c r="K671" s="4" t="s">
        <v>2098</v>
      </c>
      <c r="L671" s="5">
        <v>10682</v>
      </c>
    </row>
    <row r="672" spans="1:12" x14ac:dyDescent="0.25">
      <c r="A672" s="3" t="s">
        <v>1057</v>
      </c>
      <c r="B672" s="4" t="s">
        <v>1058</v>
      </c>
      <c r="C672" s="4" t="s">
        <v>25</v>
      </c>
      <c r="D672" s="4" t="s">
        <v>26</v>
      </c>
      <c r="E672" s="5" t="str">
        <f>"9050696"</f>
        <v>9050696</v>
      </c>
      <c r="F672" s="3" t="s">
        <v>2099</v>
      </c>
      <c r="G672" s="5">
        <v>2106427373</v>
      </c>
      <c r="H672" s="4" t="s">
        <v>2100</v>
      </c>
      <c r="I672" s="4" t="s">
        <v>1070</v>
      </c>
      <c r="J672" s="4" t="s">
        <v>1105</v>
      </c>
      <c r="K672" s="4" t="s">
        <v>1752</v>
      </c>
      <c r="L672" s="5">
        <v>11474</v>
      </c>
    </row>
    <row r="673" spans="1:12" x14ac:dyDescent="0.25">
      <c r="A673" s="3" t="s">
        <v>1057</v>
      </c>
      <c r="B673" s="4" t="s">
        <v>1058</v>
      </c>
      <c r="C673" s="4" t="s">
        <v>25</v>
      </c>
      <c r="D673" s="4" t="s">
        <v>26</v>
      </c>
      <c r="E673" s="5" t="str">
        <f>"9050694"</f>
        <v>9050694</v>
      </c>
      <c r="F673" s="3" t="s">
        <v>2101</v>
      </c>
      <c r="G673" s="5">
        <v>2106411368</v>
      </c>
      <c r="H673" s="4" t="s">
        <v>2102</v>
      </c>
      <c r="I673" s="4" t="s">
        <v>1070</v>
      </c>
      <c r="J673" s="4" t="s">
        <v>1105</v>
      </c>
      <c r="K673" s="4" t="s">
        <v>2103</v>
      </c>
      <c r="L673" s="5">
        <v>11475</v>
      </c>
    </row>
    <row r="674" spans="1:12" x14ac:dyDescent="0.25">
      <c r="A674" s="3" t="s">
        <v>1057</v>
      </c>
      <c r="B674" s="4" t="s">
        <v>1058</v>
      </c>
      <c r="C674" s="4" t="s">
        <v>25</v>
      </c>
      <c r="D674" s="4" t="s">
        <v>26</v>
      </c>
      <c r="E674" s="5" t="str">
        <f>"9051551"</f>
        <v>9051551</v>
      </c>
      <c r="F674" s="3" t="s">
        <v>2104</v>
      </c>
      <c r="G674" s="5">
        <v>2106411368</v>
      </c>
      <c r="H674" s="4" t="s">
        <v>2105</v>
      </c>
      <c r="I674" s="4" t="s">
        <v>1070</v>
      </c>
      <c r="J674" s="4" t="s">
        <v>1105</v>
      </c>
      <c r="K674" s="4" t="s">
        <v>2103</v>
      </c>
      <c r="L674" s="5">
        <v>11475</v>
      </c>
    </row>
    <row r="675" spans="1:12" x14ac:dyDescent="0.25">
      <c r="A675" s="3" t="s">
        <v>1057</v>
      </c>
      <c r="B675" s="4" t="s">
        <v>1058</v>
      </c>
      <c r="C675" s="4" t="s">
        <v>25</v>
      </c>
      <c r="D675" s="4" t="s">
        <v>26</v>
      </c>
      <c r="E675" s="5" t="str">
        <f>"9050773"</f>
        <v>9050773</v>
      </c>
      <c r="F675" s="3" t="s">
        <v>2106</v>
      </c>
      <c r="G675" s="5">
        <v>2105139849</v>
      </c>
      <c r="H675" s="4" t="s">
        <v>2107</v>
      </c>
      <c r="I675" s="4" t="s">
        <v>1070</v>
      </c>
      <c r="J675" s="4" t="s">
        <v>1105</v>
      </c>
      <c r="K675" s="4" t="s">
        <v>2108</v>
      </c>
      <c r="L675" s="5">
        <v>10443</v>
      </c>
    </row>
    <row r="676" spans="1:12" x14ac:dyDescent="0.25">
      <c r="A676" s="3" t="s">
        <v>1057</v>
      </c>
      <c r="B676" s="4" t="s">
        <v>1058</v>
      </c>
      <c r="C676" s="4" t="s">
        <v>14</v>
      </c>
      <c r="D676" s="4" t="s">
        <v>15</v>
      </c>
      <c r="E676" s="5" t="str">
        <f>"9050018"</f>
        <v>9050018</v>
      </c>
      <c r="F676" s="3" t="s">
        <v>2109</v>
      </c>
      <c r="G676" s="5">
        <v>2107215357</v>
      </c>
      <c r="H676" s="4" t="s">
        <v>2110</v>
      </c>
      <c r="I676" s="4" t="s">
        <v>1070</v>
      </c>
      <c r="J676" s="4" t="s">
        <v>1071</v>
      </c>
      <c r="K676" s="4" t="s">
        <v>2111</v>
      </c>
      <c r="L676" s="5">
        <v>16121</v>
      </c>
    </row>
    <row r="677" spans="1:12" x14ac:dyDescent="0.25">
      <c r="A677" s="3" t="s">
        <v>1057</v>
      </c>
      <c r="B677" s="4" t="s">
        <v>1058</v>
      </c>
      <c r="C677" s="4" t="s">
        <v>14</v>
      </c>
      <c r="D677" s="4" t="s">
        <v>15</v>
      </c>
      <c r="E677" s="5" t="str">
        <f>"9050024"</f>
        <v>9050024</v>
      </c>
      <c r="F677" s="3" t="s">
        <v>2112</v>
      </c>
      <c r="G677" s="5">
        <v>2107778445</v>
      </c>
      <c r="H677" s="4" t="s">
        <v>2113</v>
      </c>
      <c r="I677" s="4" t="s">
        <v>1070</v>
      </c>
      <c r="J677" s="4" t="s">
        <v>1215</v>
      </c>
      <c r="K677" s="4" t="s">
        <v>2114</v>
      </c>
      <c r="L677" s="5">
        <v>11527</v>
      </c>
    </row>
    <row r="678" spans="1:12" x14ac:dyDescent="0.25">
      <c r="A678" s="3" t="s">
        <v>1057</v>
      </c>
      <c r="B678" s="4" t="s">
        <v>1058</v>
      </c>
      <c r="C678" s="4" t="s">
        <v>14</v>
      </c>
      <c r="D678" s="4" t="s">
        <v>15</v>
      </c>
      <c r="E678" s="5" t="str">
        <f>"9050518"</f>
        <v>9050518</v>
      </c>
      <c r="F678" s="3" t="s">
        <v>2115</v>
      </c>
      <c r="G678" s="5">
        <v>2108213059</v>
      </c>
      <c r="H678" s="4" t="s">
        <v>2116</v>
      </c>
      <c r="I678" s="4" t="s">
        <v>1070</v>
      </c>
      <c r="J678" s="4" t="s">
        <v>1215</v>
      </c>
      <c r="K678" s="4" t="s">
        <v>1443</v>
      </c>
      <c r="L678" s="5">
        <v>11363</v>
      </c>
    </row>
    <row r="679" spans="1:12" x14ac:dyDescent="0.25">
      <c r="A679" s="3" t="s">
        <v>1057</v>
      </c>
      <c r="B679" s="4" t="s">
        <v>1058</v>
      </c>
      <c r="C679" s="4" t="s">
        <v>14</v>
      </c>
      <c r="D679" s="4" t="s">
        <v>15</v>
      </c>
      <c r="E679" s="5" t="str">
        <f>"9050009"</f>
        <v>9050009</v>
      </c>
      <c r="F679" s="3" t="s">
        <v>2117</v>
      </c>
      <c r="G679" s="5">
        <v>2106454492</v>
      </c>
      <c r="H679" s="4" t="s">
        <v>2118</v>
      </c>
      <c r="I679" s="4" t="s">
        <v>1070</v>
      </c>
      <c r="J679" s="4" t="s">
        <v>1071</v>
      </c>
      <c r="K679" s="4" t="s">
        <v>2119</v>
      </c>
      <c r="L679" s="5">
        <v>11521</v>
      </c>
    </row>
    <row r="680" spans="1:12" x14ac:dyDescent="0.25">
      <c r="A680" s="3" t="s">
        <v>1057</v>
      </c>
      <c r="B680" s="4" t="s">
        <v>1058</v>
      </c>
      <c r="C680" s="4" t="s">
        <v>25</v>
      </c>
      <c r="D680" s="4" t="s">
        <v>26</v>
      </c>
      <c r="E680" s="5" t="str">
        <f>"9051555"</f>
        <v>9051555</v>
      </c>
      <c r="F680" s="3" t="s">
        <v>2120</v>
      </c>
      <c r="G680" s="5">
        <v>2102933645</v>
      </c>
      <c r="H680" s="4" t="s">
        <v>2121</v>
      </c>
      <c r="I680" s="4" t="s">
        <v>1295</v>
      </c>
      <c r="J680" s="4" t="s">
        <v>1296</v>
      </c>
      <c r="K680" s="4" t="s">
        <v>2122</v>
      </c>
      <c r="L680" s="5">
        <v>11147</v>
      </c>
    </row>
    <row r="681" spans="1:12" x14ac:dyDescent="0.25">
      <c r="A681" s="3" t="s">
        <v>1057</v>
      </c>
      <c r="B681" s="4" t="s">
        <v>1058</v>
      </c>
      <c r="C681" s="4" t="s">
        <v>14</v>
      </c>
      <c r="D681" s="4" t="s">
        <v>15</v>
      </c>
      <c r="E681" s="5" t="str">
        <f>"9050510"</f>
        <v>9050510</v>
      </c>
      <c r="F681" s="3" t="s">
        <v>2123</v>
      </c>
      <c r="G681" s="5">
        <v>2106424167</v>
      </c>
      <c r="H681" s="4" t="s">
        <v>2124</v>
      </c>
      <c r="I681" s="4" t="s">
        <v>1070</v>
      </c>
      <c r="J681" s="4" t="s">
        <v>1071</v>
      </c>
      <c r="K681" s="4" t="s">
        <v>2125</v>
      </c>
      <c r="L681" s="5">
        <v>11476</v>
      </c>
    </row>
    <row r="682" spans="1:12" x14ac:dyDescent="0.25">
      <c r="A682" s="3" t="s">
        <v>1057</v>
      </c>
      <c r="B682" s="4" t="s">
        <v>1058</v>
      </c>
      <c r="C682" s="4" t="s">
        <v>14</v>
      </c>
      <c r="D682" s="4" t="s">
        <v>15</v>
      </c>
      <c r="E682" s="5" t="str">
        <f>"9050134"</f>
        <v>9050134</v>
      </c>
      <c r="F682" s="3" t="s">
        <v>2126</v>
      </c>
      <c r="G682" s="5">
        <v>2109013846</v>
      </c>
      <c r="H682" s="4" t="s">
        <v>2127</v>
      </c>
      <c r="I682" s="4" t="s">
        <v>1070</v>
      </c>
      <c r="J682" s="4" t="s">
        <v>1071</v>
      </c>
      <c r="K682" s="4" t="s">
        <v>2078</v>
      </c>
      <c r="L682" s="5">
        <v>11631</v>
      </c>
    </row>
    <row r="683" spans="1:12" ht="30" x14ac:dyDescent="0.25">
      <c r="A683" s="3" t="s">
        <v>1057</v>
      </c>
      <c r="B683" s="4" t="s">
        <v>1058</v>
      </c>
      <c r="C683" s="4" t="s">
        <v>14</v>
      </c>
      <c r="D683" s="4" t="s">
        <v>15</v>
      </c>
      <c r="E683" s="5" t="str">
        <f>"9050105"</f>
        <v>9050105</v>
      </c>
      <c r="F683" s="3" t="s">
        <v>2128</v>
      </c>
      <c r="G683" s="5">
        <v>2109231030</v>
      </c>
      <c r="H683" s="4" t="s">
        <v>2129</v>
      </c>
      <c r="I683" s="4" t="s">
        <v>1070</v>
      </c>
      <c r="J683" s="4" t="s">
        <v>1071</v>
      </c>
      <c r="K683" s="4" t="s">
        <v>2130</v>
      </c>
      <c r="L683" s="5">
        <v>11743</v>
      </c>
    </row>
    <row r="684" spans="1:12" x14ac:dyDescent="0.25">
      <c r="A684" s="3" t="s">
        <v>1057</v>
      </c>
      <c r="B684" s="4" t="s">
        <v>1058</v>
      </c>
      <c r="C684" s="4" t="s">
        <v>14</v>
      </c>
      <c r="D684" s="4" t="s">
        <v>15</v>
      </c>
      <c r="E684" s="5" t="str">
        <f>"9050007"</f>
        <v>9050007</v>
      </c>
      <c r="F684" s="3" t="s">
        <v>2131</v>
      </c>
      <c r="G684" s="5">
        <v>2103624183</v>
      </c>
      <c r="H684" s="4" t="s">
        <v>2132</v>
      </c>
      <c r="I684" s="4" t="s">
        <v>1070</v>
      </c>
      <c r="J684" s="4" t="s">
        <v>1071</v>
      </c>
      <c r="K684" s="4" t="s">
        <v>2065</v>
      </c>
      <c r="L684" s="5">
        <v>10672</v>
      </c>
    </row>
    <row r="685" spans="1:12" x14ac:dyDescent="0.25">
      <c r="A685" s="3" t="s">
        <v>1057</v>
      </c>
      <c r="B685" s="4" t="s">
        <v>1058</v>
      </c>
      <c r="C685" s="4" t="s">
        <v>14</v>
      </c>
      <c r="D685" s="4" t="s">
        <v>15</v>
      </c>
      <c r="E685" s="5" t="str">
        <f>"9050311"</f>
        <v>9050311</v>
      </c>
      <c r="F685" s="3" t="s">
        <v>2133</v>
      </c>
      <c r="G685" s="5">
        <v>2103229133</v>
      </c>
      <c r="H685" s="4" t="s">
        <v>2134</v>
      </c>
      <c r="I685" s="4" t="s">
        <v>1070</v>
      </c>
      <c r="J685" s="4" t="s">
        <v>1215</v>
      </c>
      <c r="K685" s="4" t="s">
        <v>2135</v>
      </c>
      <c r="L685" s="5">
        <v>10556</v>
      </c>
    </row>
    <row r="686" spans="1:12" x14ac:dyDescent="0.25">
      <c r="A686" s="3" t="s">
        <v>1057</v>
      </c>
      <c r="B686" s="4" t="s">
        <v>1058</v>
      </c>
      <c r="C686" s="4" t="s">
        <v>25</v>
      </c>
      <c r="D686" s="4" t="s">
        <v>26</v>
      </c>
      <c r="E686" s="5" t="str">
        <f>"9050734"</f>
        <v>9050734</v>
      </c>
      <c r="F686" s="3" t="s">
        <v>2136</v>
      </c>
      <c r="G686" s="5">
        <v>2109719543</v>
      </c>
      <c r="H686" s="4" t="s">
        <v>2137</v>
      </c>
      <c r="I686" s="4" t="s">
        <v>1154</v>
      </c>
      <c r="J686" s="4" t="s">
        <v>1318</v>
      </c>
      <c r="K686" s="4" t="s">
        <v>2138</v>
      </c>
      <c r="L686" s="5">
        <v>17235</v>
      </c>
    </row>
    <row r="687" spans="1:12" x14ac:dyDescent="0.25">
      <c r="A687" s="3" t="s">
        <v>1057</v>
      </c>
      <c r="B687" s="4" t="s">
        <v>1058</v>
      </c>
      <c r="C687" s="4" t="s">
        <v>25</v>
      </c>
      <c r="D687" s="4" t="s">
        <v>26</v>
      </c>
      <c r="E687" s="5" t="str">
        <f>"9521190"</f>
        <v>9521190</v>
      </c>
      <c r="F687" s="3" t="s">
        <v>2139</v>
      </c>
      <c r="G687" s="5">
        <v>2108822333</v>
      </c>
      <c r="H687" s="4" t="s">
        <v>2140</v>
      </c>
      <c r="I687" s="4" t="s">
        <v>1070</v>
      </c>
      <c r="J687" s="4" t="s">
        <v>2141</v>
      </c>
      <c r="K687" s="4" t="s">
        <v>1813</v>
      </c>
      <c r="L687" s="5">
        <v>11362</v>
      </c>
    </row>
    <row r="688" spans="1:12" x14ac:dyDescent="0.25">
      <c r="A688" s="3" t="s">
        <v>1057</v>
      </c>
      <c r="B688" s="4" t="s">
        <v>1058</v>
      </c>
      <c r="C688" s="4" t="s">
        <v>25</v>
      </c>
      <c r="D688" s="4" t="s">
        <v>26</v>
      </c>
      <c r="E688" s="5" t="str">
        <f>"9521497"</f>
        <v>9521497</v>
      </c>
      <c r="F688" s="3" t="s">
        <v>2142</v>
      </c>
      <c r="G688" s="5">
        <v>2107215572</v>
      </c>
      <c r="H688" s="4" t="s">
        <v>2143</v>
      </c>
      <c r="I688" s="4" t="s">
        <v>1075</v>
      </c>
      <c r="J688" s="4" t="s">
        <v>1075</v>
      </c>
      <c r="K688" s="4" t="s">
        <v>2144</v>
      </c>
      <c r="L688" s="5">
        <v>16121</v>
      </c>
    </row>
    <row r="689" spans="1:12" x14ac:dyDescent="0.25">
      <c r="A689" s="3" t="s">
        <v>1057</v>
      </c>
      <c r="B689" s="4" t="s">
        <v>1058</v>
      </c>
      <c r="C689" s="4" t="s">
        <v>25</v>
      </c>
      <c r="D689" s="4" t="s">
        <v>26</v>
      </c>
      <c r="E689" s="5" t="str">
        <f>"9521648"</f>
        <v>9521648</v>
      </c>
      <c r="F689" s="3" t="s">
        <v>2145</v>
      </c>
      <c r="G689" s="5">
        <v>2105153189</v>
      </c>
      <c r="H689" s="4" t="s">
        <v>2146</v>
      </c>
      <c r="I689" s="4" t="s">
        <v>1070</v>
      </c>
      <c r="J689" s="4" t="s">
        <v>1105</v>
      </c>
      <c r="K689" s="4" t="s">
        <v>2147</v>
      </c>
      <c r="L689" s="5">
        <v>10444</v>
      </c>
    </row>
    <row r="690" spans="1:12" x14ac:dyDescent="0.25">
      <c r="A690" s="3" t="s">
        <v>1057</v>
      </c>
      <c r="B690" s="4" t="s">
        <v>1058</v>
      </c>
      <c r="C690" s="4" t="s">
        <v>14</v>
      </c>
      <c r="D690" s="4" t="s">
        <v>15</v>
      </c>
      <c r="E690" s="5" t="str">
        <f>"9051358"</f>
        <v>9051358</v>
      </c>
      <c r="F690" s="3" t="s">
        <v>2148</v>
      </c>
      <c r="G690" s="5">
        <v>2107613044</v>
      </c>
      <c r="H690" s="4" t="s">
        <v>2149</v>
      </c>
      <c r="I690" s="4" t="s">
        <v>1065</v>
      </c>
      <c r="J690" s="4" t="s">
        <v>1463</v>
      </c>
      <c r="K690" s="4" t="s">
        <v>2150</v>
      </c>
      <c r="L690" s="5">
        <v>16232</v>
      </c>
    </row>
    <row r="691" spans="1:12" x14ac:dyDescent="0.25">
      <c r="A691" s="3" t="s">
        <v>1057</v>
      </c>
      <c r="B691" s="4" t="s">
        <v>1058</v>
      </c>
      <c r="C691" s="4" t="s">
        <v>25</v>
      </c>
      <c r="D691" s="4" t="s">
        <v>26</v>
      </c>
      <c r="E691" s="5" t="str">
        <f>"9051119"</f>
        <v>9051119</v>
      </c>
      <c r="F691" s="3" t="s">
        <v>2151</v>
      </c>
      <c r="G691" s="5">
        <v>2108317457</v>
      </c>
      <c r="H691" s="4" t="s">
        <v>2152</v>
      </c>
      <c r="I691" s="4" t="s">
        <v>1070</v>
      </c>
      <c r="J691" s="4" t="s">
        <v>2153</v>
      </c>
      <c r="K691" s="4" t="s">
        <v>2154</v>
      </c>
      <c r="L691" s="5">
        <v>10445</v>
      </c>
    </row>
    <row r="692" spans="1:12" x14ac:dyDescent="0.25">
      <c r="A692" s="3" t="s">
        <v>1057</v>
      </c>
      <c r="B692" s="4" t="s">
        <v>1058</v>
      </c>
      <c r="C692" s="4" t="s">
        <v>25</v>
      </c>
      <c r="D692" s="4" t="s">
        <v>26</v>
      </c>
      <c r="E692" s="5" t="str">
        <f>"9051123"</f>
        <v>9051123</v>
      </c>
      <c r="F692" s="3" t="s">
        <v>2155</v>
      </c>
      <c r="G692" s="5">
        <v>2130991766</v>
      </c>
      <c r="H692" s="4" t="s">
        <v>2156</v>
      </c>
      <c r="I692" s="4" t="s">
        <v>1070</v>
      </c>
      <c r="J692" s="4" t="s">
        <v>2157</v>
      </c>
      <c r="K692" s="4" t="s">
        <v>2158</v>
      </c>
      <c r="L692" s="5">
        <v>11144</v>
      </c>
    </row>
    <row r="693" spans="1:12" x14ac:dyDescent="0.25">
      <c r="A693" s="3" t="s">
        <v>1057</v>
      </c>
      <c r="B693" s="4" t="s">
        <v>1058</v>
      </c>
      <c r="C693" s="4" t="s">
        <v>25</v>
      </c>
      <c r="D693" s="4" t="s">
        <v>26</v>
      </c>
      <c r="E693" s="5" t="str">
        <f>"9051127"</f>
        <v>9051127</v>
      </c>
      <c r="F693" s="3" t="s">
        <v>2159</v>
      </c>
      <c r="G693" s="5">
        <v>2162000819</v>
      </c>
      <c r="H693" s="4" t="s">
        <v>2160</v>
      </c>
      <c r="I693" s="4" t="s">
        <v>1070</v>
      </c>
      <c r="J693" s="4" t="s">
        <v>2161</v>
      </c>
      <c r="K693" s="4" t="s">
        <v>2162</v>
      </c>
      <c r="L693" s="5">
        <v>11364</v>
      </c>
    </row>
    <row r="694" spans="1:12" x14ac:dyDescent="0.25">
      <c r="A694" s="3" t="s">
        <v>1057</v>
      </c>
      <c r="B694" s="4" t="s">
        <v>1058</v>
      </c>
      <c r="C694" s="4" t="s">
        <v>25</v>
      </c>
      <c r="D694" s="4" t="s">
        <v>26</v>
      </c>
      <c r="E694" s="5" t="str">
        <f>"9051129"</f>
        <v>9051129</v>
      </c>
      <c r="F694" s="3" t="s">
        <v>2163</v>
      </c>
      <c r="G694" s="5">
        <v>2160703002</v>
      </c>
      <c r="H694" s="4" t="s">
        <v>2164</v>
      </c>
      <c r="I694" s="4" t="s">
        <v>1070</v>
      </c>
      <c r="J694" s="4" t="s">
        <v>1215</v>
      </c>
      <c r="K694" s="4" t="s">
        <v>2165</v>
      </c>
      <c r="L694" s="5">
        <v>11522</v>
      </c>
    </row>
    <row r="695" spans="1:12" x14ac:dyDescent="0.25">
      <c r="A695" s="3" t="s">
        <v>1057</v>
      </c>
      <c r="B695" s="4" t="s">
        <v>2166</v>
      </c>
      <c r="C695" s="4" t="s">
        <v>14</v>
      </c>
      <c r="D695" s="4" t="s">
        <v>15</v>
      </c>
      <c r="E695" s="5" t="str">
        <f>"9050245"</f>
        <v>9050245</v>
      </c>
      <c r="F695" s="3" t="s">
        <v>2167</v>
      </c>
      <c r="G695" s="5">
        <v>2102469987</v>
      </c>
      <c r="H695" s="4" t="s">
        <v>2168</v>
      </c>
      <c r="I695" s="4" t="s">
        <v>2169</v>
      </c>
      <c r="J695" s="4" t="s">
        <v>2170</v>
      </c>
      <c r="K695" s="4" t="s">
        <v>2171</v>
      </c>
      <c r="L695" s="5">
        <v>13674</v>
      </c>
    </row>
    <row r="696" spans="1:12" x14ac:dyDescent="0.25">
      <c r="A696" s="3" t="s">
        <v>1057</v>
      </c>
      <c r="B696" s="4" t="s">
        <v>2166</v>
      </c>
      <c r="C696" s="4" t="s">
        <v>25</v>
      </c>
      <c r="D696" s="4" t="s">
        <v>26</v>
      </c>
      <c r="E696" s="5" t="str">
        <f>"9050244"</f>
        <v>9050244</v>
      </c>
      <c r="F696" s="3" t="s">
        <v>2172</v>
      </c>
      <c r="G696" s="5">
        <v>2102462104</v>
      </c>
      <c r="H696" s="4" t="s">
        <v>2173</v>
      </c>
      <c r="I696" s="4" t="s">
        <v>2169</v>
      </c>
      <c r="J696" s="4" t="s">
        <v>2169</v>
      </c>
      <c r="K696" s="4" t="s">
        <v>2174</v>
      </c>
      <c r="L696" s="5">
        <v>13671</v>
      </c>
    </row>
    <row r="697" spans="1:12" x14ac:dyDescent="0.25">
      <c r="A697" s="3" t="s">
        <v>1057</v>
      </c>
      <c r="B697" s="4" t="s">
        <v>2166</v>
      </c>
      <c r="C697" s="4" t="s">
        <v>25</v>
      </c>
      <c r="D697" s="4" t="s">
        <v>26</v>
      </c>
      <c r="E697" s="5" t="str">
        <f>"9051796"</f>
        <v>9051796</v>
      </c>
      <c r="F697" s="3" t="s">
        <v>2175</v>
      </c>
      <c r="G697" s="5">
        <v>2102443537</v>
      </c>
      <c r="H697" s="4" t="s">
        <v>2176</v>
      </c>
      <c r="I697" s="4" t="s">
        <v>2169</v>
      </c>
      <c r="J697" s="4" t="s">
        <v>2169</v>
      </c>
      <c r="K697" s="4" t="s">
        <v>2177</v>
      </c>
      <c r="L697" s="5">
        <v>13672</v>
      </c>
    </row>
    <row r="698" spans="1:12" x14ac:dyDescent="0.25">
      <c r="A698" s="3" t="s">
        <v>1057</v>
      </c>
      <c r="B698" s="4" t="s">
        <v>2166</v>
      </c>
      <c r="C698" s="4" t="s">
        <v>25</v>
      </c>
      <c r="D698" s="4" t="s">
        <v>26</v>
      </c>
      <c r="E698" s="5" t="str">
        <f>"9051045"</f>
        <v>9051045</v>
      </c>
      <c r="F698" s="3" t="s">
        <v>2178</v>
      </c>
      <c r="G698" s="5">
        <v>2102465104</v>
      </c>
      <c r="H698" s="4" t="s">
        <v>2179</v>
      </c>
      <c r="I698" s="4" t="s">
        <v>2169</v>
      </c>
      <c r="J698" s="4" t="s">
        <v>2170</v>
      </c>
      <c r="K698" s="4" t="s">
        <v>2180</v>
      </c>
      <c r="L698" s="5">
        <v>13678</v>
      </c>
    </row>
    <row r="699" spans="1:12" x14ac:dyDescent="0.25">
      <c r="A699" s="3" t="s">
        <v>1057</v>
      </c>
      <c r="B699" s="4" t="s">
        <v>2166</v>
      </c>
      <c r="C699" s="4" t="s">
        <v>14</v>
      </c>
      <c r="D699" s="4" t="s">
        <v>15</v>
      </c>
      <c r="E699" s="5" t="str">
        <f>"9050551"</f>
        <v>9050551</v>
      </c>
      <c r="F699" s="3" t="s">
        <v>2181</v>
      </c>
      <c r="G699" s="5">
        <v>2111109429</v>
      </c>
      <c r="H699" s="4" t="s">
        <v>2182</v>
      </c>
      <c r="I699" s="4" t="s">
        <v>2183</v>
      </c>
      <c r="J699" s="4" t="s">
        <v>2184</v>
      </c>
      <c r="K699" s="4" t="s">
        <v>2185</v>
      </c>
      <c r="L699" s="5">
        <v>19400</v>
      </c>
    </row>
    <row r="700" spans="1:12" x14ac:dyDescent="0.25">
      <c r="A700" s="3" t="s">
        <v>1057</v>
      </c>
      <c r="B700" s="4" t="s">
        <v>2166</v>
      </c>
      <c r="C700" s="4" t="s">
        <v>25</v>
      </c>
      <c r="D700" s="4" t="s">
        <v>26</v>
      </c>
      <c r="E700" s="5" t="str">
        <f>"9051908"</f>
        <v>9051908</v>
      </c>
      <c r="F700" s="3" t="s">
        <v>2186</v>
      </c>
      <c r="G700" s="5">
        <v>2294089800</v>
      </c>
      <c r="H700" s="4" t="s">
        <v>2187</v>
      </c>
      <c r="I700" s="4" t="s">
        <v>2188</v>
      </c>
      <c r="J700" s="4" t="s">
        <v>2189</v>
      </c>
      <c r="K700" s="4" t="s">
        <v>2190</v>
      </c>
      <c r="L700" s="5">
        <v>19016</v>
      </c>
    </row>
    <row r="701" spans="1:12" x14ac:dyDescent="0.25">
      <c r="A701" s="3" t="s">
        <v>1057</v>
      </c>
      <c r="B701" s="4" t="s">
        <v>2166</v>
      </c>
      <c r="C701" s="4" t="s">
        <v>25</v>
      </c>
      <c r="D701" s="4" t="s">
        <v>26</v>
      </c>
      <c r="E701" s="5" t="str">
        <f>"9050593"</f>
        <v>9050593</v>
      </c>
      <c r="F701" s="3" t="s">
        <v>2191</v>
      </c>
      <c r="G701" s="5">
        <v>2106612076</v>
      </c>
      <c r="H701" s="4" t="s">
        <v>2192</v>
      </c>
      <c r="I701" s="4" t="s">
        <v>2193</v>
      </c>
      <c r="J701" s="4" t="s">
        <v>2194</v>
      </c>
      <c r="K701" s="4" t="s">
        <v>2195</v>
      </c>
      <c r="L701" s="5">
        <v>15344</v>
      </c>
    </row>
    <row r="702" spans="1:12" x14ac:dyDescent="0.25">
      <c r="A702" s="3" t="s">
        <v>1057</v>
      </c>
      <c r="B702" s="4" t="s">
        <v>2166</v>
      </c>
      <c r="C702" s="4" t="s">
        <v>25</v>
      </c>
      <c r="D702" s="4" t="s">
        <v>26</v>
      </c>
      <c r="E702" s="5" t="str">
        <f>"9050799"</f>
        <v>9050799</v>
      </c>
      <c r="F702" s="3" t="s">
        <v>2196</v>
      </c>
      <c r="G702" s="5">
        <v>2106612222</v>
      </c>
      <c r="H702" s="4" t="s">
        <v>2197</v>
      </c>
      <c r="I702" s="4" t="s">
        <v>2193</v>
      </c>
      <c r="J702" s="4" t="s">
        <v>2194</v>
      </c>
      <c r="K702" s="4" t="s">
        <v>2198</v>
      </c>
      <c r="L702" s="5">
        <v>15344</v>
      </c>
    </row>
    <row r="703" spans="1:12" x14ac:dyDescent="0.25">
      <c r="A703" s="3" t="s">
        <v>1057</v>
      </c>
      <c r="B703" s="4" t="s">
        <v>2166</v>
      </c>
      <c r="C703" s="4" t="s">
        <v>25</v>
      </c>
      <c r="D703" s="4" t="s">
        <v>26</v>
      </c>
      <c r="E703" s="5" t="str">
        <f>"9050246"</f>
        <v>9050246</v>
      </c>
      <c r="F703" s="3" t="s">
        <v>2199</v>
      </c>
      <c r="G703" s="5">
        <v>2102316232</v>
      </c>
      <c r="H703" s="4" t="s">
        <v>2200</v>
      </c>
      <c r="I703" s="4" t="s">
        <v>2169</v>
      </c>
      <c r="J703" s="4" t="s">
        <v>2169</v>
      </c>
      <c r="K703" s="4" t="s">
        <v>2201</v>
      </c>
      <c r="L703" s="5">
        <v>13671</v>
      </c>
    </row>
    <row r="704" spans="1:12" x14ac:dyDescent="0.25">
      <c r="A704" s="3" t="s">
        <v>1057</v>
      </c>
      <c r="B704" s="4" t="s">
        <v>2166</v>
      </c>
      <c r="C704" s="4" t="s">
        <v>25</v>
      </c>
      <c r="D704" s="4" t="s">
        <v>26</v>
      </c>
      <c r="E704" s="5" t="str">
        <f>"9051893"</f>
        <v>9051893</v>
      </c>
      <c r="F704" s="3" t="s">
        <v>2202</v>
      </c>
      <c r="G704" s="5">
        <v>2106047562</v>
      </c>
      <c r="H704" s="4" t="s">
        <v>2203</v>
      </c>
      <c r="I704" s="4" t="s">
        <v>2193</v>
      </c>
      <c r="J704" s="4" t="s">
        <v>2194</v>
      </c>
      <c r="K704" s="4" t="s">
        <v>2204</v>
      </c>
      <c r="L704" s="5">
        <v>15344</v>
      </c>
    </row>
    <row r="705" spans="1:12" x14ac:dyDescent="0.25">
      <c r="A705" s="3" t="s">
        <v>1057</v>
      </c>
      <c r="B705" s="4" t="s">
        <v>2166</v>
      </c>
      <c r="C705" s="4" t="s">
        <v>25</v>
      </c>
      <c r="D705" s="4" t="s">
        <v>26</v>
      </c>
      <c r="E705" s="5" t="str">
        <f>"9051922"</f>
        <v>9051922</v>
      </c>
      <c r="F705" s="3" t="s">
        <v>2205</v>
      </c>
      <c r="G705" s="5">
        <v>2106049553</v>
      </c>
      <c r="H705" s="4" t="s">
        <v>2206</v>
      </c>
      <c r="I705" s="4" t="s">
        <v>2193</v>
      </c>
      <c r="J705" s="4" t="s">
        <v>2194</v>
      </c>
      <c r="K705" s="4" t="s">
        <v>2207</v>
      </c>
      <c r="L705" s="5">
        <v>15344</v>
      </c>
    </row>
    <row r="706" spans="1:12" x14ac:dyDescent="0.25">
      <c r="A706" s="3" t="s">
        <v>1057</v>
      </c>
      <c r="B706" s="4" t="s">
        <v>2166</v>
      </c>
      <c r="C706" s="4" t="s">
        <v>25</v>
      </c>
      <c r="D706" s="4" t="s">
        <v>26</v>
      </c>
      <c r="E706" s="5" t="str">
        <f>"9520644"</f>
        <v>9520644</v>
      </c>
      <c r="F706" s="3" t="s">
        <v>2208</v>
      </c>
      <c r="G706" s="5">
        <v>2111066336</v>
      </c>
      <c r="H706" s="4" t="s">
        <v>2209</v>
      </c>
      <c r="I706" s="4" t="s">
        <v>2210</v>
      </c>
      <c r="J706" s="4" t="s">
        <v>2211</v>
      </c>
      <c r="K706" s="4" t="s">
        <v>2212</v>
      </c>
      <c r="L706" s="5">
        <v>15354</v>
      </c>
    </row>
    <row r="707" spans="1:12" x14ac:dyDescent="0.25">
      <c r="A707" s="3" t="s">
        <v>1057</v>
      </c>
      <c r="B707" s="4" t="s">
        <v>2166</v>
      </c>
      <c r="C707" s="4" t="s">
        <v>25</v>
      </c>
      <c r="D707" s="4" t="s">
        <v>26</v>
      </c>
      <c r="E707" s="5" t="str">
        <f>"9051923"</f>
        <v>9051923</v>
      </c>
      <c r="F707" s="3" t="s">
        <v>2213</v>
      </c>
      <c r="G707" s="5">
        <v>2106665355</v>
      </c>
      <c r="H707" s="4" t="s">
        <v>2214</v>
      </c>
      <c r="I707" s="4" t="s">
        <v>2193</v>
      </c>
      <c r="J707" s="4" t="s">
        <v>2193</v>
      </c>
      <c r="K707" s="4" t="s">
        <v>2215</v>
      </c>
      <c r="L707" s="5">
        <v>15351</v>
      </c>
    </row>
    <row r="708" spans="1:12" x14ac:dyDescent="0.25">
      <c r="A708" s="3" t="s">
        <v>1057</v>
      </c>
      <c r="B708" s="4" t="s">
        <v>2166</v>
      </c>
      <c r="C708" s="4" t="s">
        <v>25</v>
      </c>
      <c r="D708" s="4" t="s">
        <v>26</v>
      </c>
      <c r="E708" s="5" t="str">
        <f>"9051909"</f>
        <v>9051909</v>
      </c>
      <c r="F708" s="3" t="s">
        <v>2216</v>
      </c>
      <c r="G708" s="5">
        <v>2294079760</v>
      </c>
      <c r="H708" s="4" t="s">
        <v>2217</v>
      </c>
      <c r="I708" s="4" t="s">
        <v>2218</v>
      </c>
      <c r="J708" s="4" t="s">
        <v>2219</v>
      </c>
      <c r="K708" s="4" t="s">
        <v>2220</v>
      </c>
      <c r="L708" s="5">
        <v>19009</v>
      </c>
    </row>
    <row r="709" spans="1:12" x14ac:dyDescent="0.25">
      <c r="A709" s="3" t="s">
        <v>1057</v>
      </c>
      <c r="B709" s="4" t="s">
        <v>2166</v>
      </c>
      <c r="C709" s="4" t="s">
        <v>25</v>
      </c>
      <c r="D709" s="4" t="s">
        <v>26</v>
      </c>
      <c r="E709" s="5" t="str">
        <f>"9051631"</f>
        <v>9051631</v>
      </c>
      <c r="F709" s="3" t="s">
        <v>2221</v>
      </c>
      <c r="G709" s="5">
        <v>2106667177</v>
      </c>
      <c r="H709" s="4" t="s">
        <v>2222</v>
      </c>
      <c r="I709" s="4" t="s">
        <v>2193</v>
      </c>
      <c r="J709" s="4" t="s">
        <v>2193</v>
      </c>
      <c r="K709" s="4" t="s">
        <v>2223</v>
      </c>
      <c r="L709" s="5">
        <v>15351</v>
      </c>
    </row>
    <row r="710" spans="1:12" x14ac:dyDescent="0.25">
      <c r="A710" s="3" t="s">
        <v>1057</v>
      </c>
      <c r="B710" s="4" t="s">
        <v>2166</v>
      </c>
      <c r="C710" s="4" t="s">
        <v>25</v>
      </c>
      <c r="D710" s="4" t="s">
        <v>26</v>
      </c>
      <c r="E710" s="5" t="str">
        <f>"9520813"</f>
        <v>9520813</v>
      </c>
      <c r="F710" s="3" t="s">
        <v>2224</v>
      </c>
      <c r="G710" s="5">
        <v>2106033735</v>
      </c>
      <c r="H710" s="4" t="s">
        <v>2225</v>
      </c>
      <c r="I710" s="4" t="s">
        <v>2193</v>
      </c>
      <c r="J710" s="4" t="s">
        <v>2226</v>
      </c>
      <c r="K710" s="4" t="s">
        <v>2227</v>
      </c>
      <c r="L710" s="5">
        <v>15351</v>
      </c>
    </row>
    <row r="711" spans="1:12" x14ac:dyDescent="0.25">
      <c r="A711" s="3" t="s">
        <v>1057</v>
      </c>
      <c r="B711" s="4" t="s">
        <v>2166</v>
      </c>
      <c r="C711" s="4" t="s">
        <v>25</v>
      </c>
      <c r="D711" s="4" t="s">
        <v>26</v>
      </c>
      <c r="E711" s="5" t="str">
        <f>"9051865"</f>
        <v>9051865</v>
      </c>
      <c r="F711" s="3" t="s">
        <v>2228</v>
      </c>
      <c r="G711" s="5">
        <v>2106048141</v>
      </c>
      <c r="H711" s="4" t="s">
        <v>2229</v>
      </c>
      <c r="I711" s="4" t="s">
        <v>2193</v>
      </c>
      <c r="J711" s="4" t="s">
        <v>2194</v>
      </c>
      <c r="K711" s="4" t="s">
        <v>2230</v>
      </c>
      <c r="L711" s="5">
        <v>15344</v>
      </c>
    </row>
    <row r="712" spans="1:12" x14ac:dyDescent="0.25">
      <c r="A712" s="3" t="s">
        <v>1057</v>
      </c>
      <c r="B712" s="4" t="s">
        <v>2166</v>
      </c>
      <c r="C712" s="4" t="s">
        <v>25</v>
      </c>
      <c r="D712" s="4" t="s">
        <v>26</v>
      </c>
      <c r="E712" s="5" t="str">
        <f>"9520913"</f>
        <v>9520913</v>
      </c>
      <c r="F712" s="3" t="s">
        <v>2231</v>
      </c>
      <c r="G712" s="5">
        <v>2106042820</v>
      </c>
      <c r="H712" s="4" t="s">
        <v>2232</v>
      </c>
      <c r="I712" s="4" t="s">
        <v>2193</v>
      </c>
      <c r="J712" s="4" t="s">
        <v>2193</v>
      </c>
      <c r="K712" s="4" t="s">
        <v>2233</v>
      </c>
      <c r="L712" s="5">
        <v>15351</v>
      </c>
    </row>
    <row r="713" spans="1:12" x14ac:dyDescent="0.25">
      <c r="A713" s="3" t="s">
        <v>1057</v>
      </c>
      <c r="B713" s="4" t="s">
        <v>2166</v>
      </c>
      <c r="C713" s="4" t="s">
        <v>14</v>
      </c>
      <c r="D713" s="4" t="s">
        <v>15</v>
      </c>
      <c r="E713" s="5" t="str">
        <f>"9050250"</f>
        <v>9050250</v>
      </c>
      <c r="F713" s="3" t="s">
        <v>2234</v>
      </c>
      <c r="G713" s="5">
        <v>2102316651</v>
      </c>
      <c r="H713" s="4" t="s">
        <v>2235</v>
      </c>
      <c r="I713" s="4" t="s">
        <v>2169</v>
      </c>
      <c r="J713" s="4" t="s">
        <v>2236</v>
      </c>
      <c r="K713" s="4" t="s">
        <v>2237</v>
      </c>
      <c r="L713" s="5">
        <v>13671</v>
      </c>
    </row>
    <row r="714" spans="1:12" x14ac:dyDescent="0.25">
      <c r="A714" s="3" t="s">
        <v>1057</v>
      </c>
      <c r="B714" s="4" t="s">
        <v>2166</v>
      </c>
      <c r="C714" s="4" t="s">
        <v>25</v>
      </c>
      <c r="D714" s="4" t="s">
        <v>26</v>
      </c>
      <c r="E714" s="5" t="str">
        <f>"9520956"</f>
        <v>9520956</v>
      </c>
      <c r="F714" s="3" t="s">
        <v>2238</v>
      </c>
      <c r="G714" s="5">
        <v>2109653857</v>
      </c>
      <c r="H714" s="4" t="s">
        <v>2239</v>
      </c>
      <c r="I714" s="4" t="s">
        <v>2240</v>
      </c>
      <c r="J714" s="4" t="s">
        <v>2241</v>
      </c>
      <c r="K714" s="4" t="s">
        <v>2242</v>
      </c>
      <c r="L714" s="5">
        <v>16672</v>
      </c>
    </row>
    <row r="715" spans="1:12" x14ac:dyDescent="0.25">
      <c r="A715" s="3" t="s">
        <v>1057</v>
      </c>
      <c r="B715" s="4" t="s">
        <v>2166</v>
      </c>
      <c r="C715" s="4" t="s">
        <v>14</v>
      </c>
      <c r="D715" s="4" t="s">
        <v>15</v>
      </c>
      <c r="E715" s="5" t="str">
        <f>"9050596"</f>
        <v>9050596</v>
      </c>
      <c r="F715" s="3" t="s">
        <v>2243</v>
      </c>
      <c r="G715" s="5">
        <v>2106642296</v>
      </c>
      <c r="H715" s="4" t="s">
        <v>2244</v>
      </c>
      <c r="I715" s="4" t="s">
        <v>2210</v>
      </c>
      <c r="J715" s="4" t="s">
        <v>2245</v>
      </c>
      <c r="K715" s="4" t="s">
        <v>2246</v>
      </c>
      <c r="L715" s="5">
        <v>19002</v>
      </c>
    </row>
    <row r="716" spans="1:12" x14ac:dyDescent="0.25">
      <c r="A716" s="3" t="s">
        <v>1057</v>
      </c>
      <c r="B716" s="4" t="s">
        <v>2166</v>
      </c>
      <c r="C716" s="4" t="s">
        <v>25</v>
      </c>
      <c r="D716" s="4" t="s">
        <v>26</v>
      </c>
      <c r="E716" s="5" t="str">
        <f>"9051428"</f>
        <v>9051428</v>
      </c>
      <c r="F716" s="3" t="s">
        <v>2247</v>
      </c>
      <c r="G716" s="5">
        <v>2106658650</v>
      </c>
      <c r="H716" s="4" t="s">
        <v>2248</v>
      </c>
      <c r="I716" s="4" t="s">
        <v>2210</v>
      </c>
      <c r="J716" s="4" t="s">
        <v>2211</v>
      </c>
      <c r="K716" s="4" t="s">
        <v>2249</v>
      </c>
      <c r="L716" s="5">
        <v>15354</v>
      </c>
    </row>
    <row r="717" spans="1:12" x14ac:dyDescent="0.25">
      <c r="A717" s="3" t="s">
        <v>1057</v>
      </c>
      <c r="B717" s="4" t="s">
        <v>2166</v>
      </c>
      <c r="C717" s="4" t="s">
        <v>25</v>
      </c>
      <c r="D717" s="4" t="s">
        <v>26</v>
      </c>
      <c r="E717" s="5" t="str">
        <f>"9050886"</f>
        <v>9050886</v>
      </c>
      <c r="F717" s="3" t="s">
        <v>2250</v>
      </c>
      <c r="G717" s="5">
        <v>2106658411</v>
      </c>
      <c r="H717" s="4" t="s">
        <v>2251</v>
      </c>
      <c r="I717" s="4" t="s">
        <v>2193</v>
      </c>
      <c r="J717" s="4" t="s">
        <v>2193</v>
      </c>
      <c r="K717" s="4" t="s">
        <v>2252</v>
      </c>
      <c r="L717" s="5">
        <v>15351</v>
      </c>
    </row>
    <row r="718" spans="1:12" x14ac:dyDescent="0.25">
      <c r="A718" s="3" t="s">
        <v>1057</v>
      </c>
      <c r="B718" s="4" t="s">
        <v>2166</v>
      </c>
      <c r="C718" s="4" t="s">
        <v>25</v>
      </c>
      <c r="D718" s="4" t="s">
        <v>26</v>
      </c>
      <c r="E718" s="5" t="str">
        <f>"9051826"</f>
        <v>9051826</v>
      </c>
      <c r="F718" s="3" t="s">
        <v>2253</v>
      </c>
      <c r="G718" s="5">
        <v>2106036243</v>
      </c>
      <c r="H718" s="4" t="s">
        <v>2254</v>
      </c>
      <c r="I718" s="4" t="s">
        <v>2218</v>
      </c>
      <c r="J718" s="4" t="s">
        <v>2255</v>
      </c>
      <c r="K718" s="4" t="s">
        <v>2256</v>
      </c>
      <c r="L718" s="5">
        <v>19009</v>
      </c>
    </row>
    <row r="719" spans="1:12" x14ac:dyDescent="0.25">
      <c r="A719" s="3" t="s">
        <v>1057</v>
      </c>
      <c r="B719" s="4" t="s">
        <v>2166</v>
      </c>
      <c r="C719" s="4" t="s">
        <v>25</v>
      </c>
      <c r="D719" s="4" t="s">
        <v>26</v>
      </c>
      <c r="E719" s="5" t="str">
        <f>"9050563"</f>
        <v>9050563</v>
      </c>
      <c r="F719" s="3" t="s">
        <v>2257</v>
      </c>
      <c r="G719" s="5">
        <v>2106634300</v>
      </c>
      <c r="H719" s="4" t="s">
        <v>2258</v>
      </c>
      <c r="I719" s="4" t="s">
        <v>2188</v>
      </c>
      <c r="J719" s="4" t="s">
        <v>2259</v>
      </c>
      <c r="K719" s="4" t="s">
        <v>2260</v>
      </c>
      <c r="L719" s="5">
        <v>19004</v>
      </c>
    </row>
    <row r="720" spans="1:12" x14ac:dyDescent="0.25">
      <c r="A720" s="3" t="s">
        <v>1057</v>
      </c>
      <c r="B720" s="4" t="s">
        <v>2166</v>
      </c>
      <c r="C720" s="4" t="s">
        <v>25</v>
      </c>
      <c r="D720" s="4" t="s">
        <v>26</v>
      </c>
      <c r="E720" s="5" t="str">
        <f>"9050565"</f>
        <v>9050565</v>
      </c>
      <c r="F720" s="3" t="s">
        <v>2261</v>
      </c>
      <c r="G720" s="5">
        <v>2106634111</v>
      </c>
      <c r="H720" s="4" t="s">
        <v>2262</v>
      </c>
      <c r="I720" s="4" t="s">
        <v>2188</v>
      </c>
      <c r="J720" s="4" t="s">
        <v>2263</v>
      </c>
      <c r="K720" s="4" t="s">
        <v>2264</v>
      </c>
      <c r="L720" s="5">
        <v>19004</v>
      </c>
    </row>
    <row r="721" spans="1:12" x14ac:dyDescent="0.25">
      <c r="A721" s="3" t="s">
        <v>1057</v>
      </c>
      <c r="B721" s="4" t="s">
        <v>2166</v>
      </c>
      <c r="C721" s="4" t="s">
        <v>14</v>
      </c>
      <c r="D721" s="4" t="s">
        <v>15</v>
      </c>
      <c r="E721" s="5" t="str">
        <f>"9050610"</f>
        <v>9050610</v>
      </c>
      <c r="F721" s="3" t="s">
        <v>2265</v>
      </c>
      <c r="G721" s="5">
        <v>2106658444</v>
      </c>
      <c r="H721" s="4" t="s">
        <v>2266</v>
      </c>
      <c r="I721" s="4" t="s">
        <v>2210</v>
      </c>
      <c r="J721" s="4" t="s">
        <v>2267</v>
      </c>
      <c r="K721" s="4" t="s">
        <v>2268</v>
      </c>
      <c r="L721" s="5">
        <v>15354</v>
      </c>
    </row>
    <row r="722" spans="1:12" x14ac:dyDescent="0.25">
      <c r="A722" s="3" t="s">
        <v>1057</v>
      </c>
      <c r="B722" s="4" t="s">
        <v>2166</v>
      </c>
      <c r="C722" s="4" t="s">
        <v>14</v>
      </c>
      <c r="D722" s="4" t="s">
        <v>15</v>
      </c>
      <c r="E722" s="5" t="str">
        <f>"9520639"</f>
        <v>9520639</v>
      </c>
      <c r="F722" s="3" t="s">
        <v>2269</v>
      </c>
      <c r="G722" s="5">
        <v>2294047231</v>
      </c>
      <c r="H722" s="4" t="s">
        <v>2270</v>
      </c>
      <c r="I722" s="4" t="s">
        <v>2188</v>
      </c>
      <c r="J722" s="4" t="s">
        <v>2271</v>
      </c>
      <c r="K722" s="4" t="s">
        <v>2272</v>
      </c>
      <c r="L722" s="5">
        <v>19016</v>
      </c>
    </row>
    <row r="723" spans="1:12" x14ac:dyDescent="0.25">
      <c r="A723" s="3" t="s">
        <v>1057</v>
      </c>
      <c r="B723" s="4" t="s">
        <v>2166</v>
      </c>
      <c r="C723" s="4" t="s">
        <v>14</v>
      </c>
      <c r="D723" s="4" t="s">
        <v>15</v>
      </c>
      <c r="E723" s="5" t="str">
        <f>"9050602"</f>
        <v>9050602</v>
      </c>
      <c r="F723" s="3" t="s">
        <v>2273</v>
      </c>
      <c r="G723" s="5">
        <v>2106665056</v>
      </c>
      <c r="H723" s="4" t="s">
        <v>2274</v>
      </c>
      <c r="I723" s="4" t="s">
        <v>2193</v>
      </c>
      <c r="J723" s="4" t="s">
        <v>2275</v>
      </c>
      <c r="K723" s="4" t="s">
        <v>2276</v>
      </c>
      <c r="L723" s="5">
        <v>15349</v>
      </c>
    </row>
    <row r="724" spans="1:12" x14ac:dyDescent="0.25">
      <c r="A724" s="3" t="s">
        <v>1057</v>
      </c>
      <c r="B724" s="4" t="s">
        <v>2166</v>
      </c>
      <c r="C724" s="4" t="s">
        <v>14</v>
      </c>
      <c r="D724" s="4" t="s">
        <v>15</v>
      </c>
      <c r="E724" s="5" t="str">
        <f>"9051377"</f>
        <v>9051377</v>
      </c>
      <c r="F724" s="3" t="s">
        <v>2277</v>
      </c>
      <c r="G724" s="5">
        <v>2102430066</v>
      </c>
      <c r="H724" s="4" t="s">
        <v>2278</v>
      </c>
      <c r="I724" s="4" t="s">
        <v>2169</v>
      </c>
      <c r="J724" s="4" t="s">
        <v>2279</v>
      </c>
      <c r="K724" s="4" t="s">
        <v>2280</v>
      </c>
      <c r="L724" s="5">
        <v>13676</v>
      </c>
    </row>
    <row r="725" spans="1:12" x14ac:dyDescent="0.25">
      <c r="A725" s="3" t="s">
        <v>1057</v>
      </c>
      <c r="B725" s="4" t="s">
        <v>2166</v>
      </c>
      <c r="C725" s="4" t="s">
        <v>14</v>
      </c>
      <c r="D725" s="4" t="s">
        <v>15</v>
      </c>
      <c r="E725" s="5" t="str">
        <f>"9050592"</f>
        <v>9050592</v>
      </c>
      <c r="F725" s="3" t="s">
        <v>2281</v>
      </c>
      <c r="G725" s="5">
        <v>2106610426</v>
      </c>
      <c r="H725" s="4" t="s">
        <v>2282</v>
      </c>
      <c r="I725" s="4" t="s">
        <v>2193</v>
      </c>
      <c r="J725" s="4" t="s">
        <v>2283</v>
      </c>
      <c r="K725" s="4" t="s">
        <v>2284</v>
      </c>
      <c r="L725" s="5">
        <v>15344</v>
      </c>
    </row>
    <row r="726" spans="1:12" x14ac:dyDescent="0.25">
      <c r="A726" s="3" t="s">
        <v>1057</v>
      </c>
      <c r="B726" s="4" t="s">
        <v>2166</v>
      </c>
      <c r="C726" s="4" t="s">
        <v>14</v>
      </c>
      <c r="D726" s="4" t="s">
        <v>15</v>
      </c>
      <c r="E726" s="5" t="str">
        <f>"9051774"</f>
        <v>9051774</v>
      </c>
      <c r="F726" s="3" t="s">
        <v>2285</v>
      </c>
      <c r="G726" s="5">
        <v>2106643964</v>
      </c>
      <c r="H726" s="4" t="s">
        <v>2286</v>
      </c>
      <c r="I726" s="4" t="s">
        <v>2210</v>
      </c>
      <c r="J726" s="4" t="s">
        <v>2287</v>
      </c>
      <c r="K726" s="4" t="s">
        <v>2288</v>
      </c>
      <c r="L726" s="5">
        <v>19002</v>
      </c>
    </row>
    <row r="727" spans="1:12" x14ac:dyDescent="0.25">
      <c r="A727" s="3" t="s">
        <v>1057</v>
      </c>
      <c r="B727" s="4" t="s">
        <v>2166</v>
      </c>
      <c r="C727" s="4" t="s">
        <v>14</v>
      </c>
      <c r="D727" s="4" t="s">
        <v>15</v>
      </c>
      <c r="E727" s="5" t="str">
        <f>"9050249"</f>
        <v>9050249</v>
      </c>
      <c r="F727" s="3" t="s">
        <v>2289</v>
      </c>
      <c r="G727" s="5">
        <v>2102461100</v>
      </c>
      <c r="H727" s="4" t="s">
        <v>2290</v>
      </c>
      <c r="I727" s="4" t="s">
        <v>2169</v>
      </c>
      <c r="J727" s="4" t="s">
        <v>2291</v>
      </c>
      <c r="K727" s="4" t="s">
        <v>2010</v>
      </c>
      <c r="L727" s="5">
        <v>13672</v>
      </c>
    </row>
    <row r="728" spans="1:12" x14ac:dyDescent="0.25">
      <c r="A728" s="3" t="s">
        <v>1057</v>
      </c>
      <c r="B728" s="4" t="s">
        <v>2166</v>
      </c>
      <c r="C728" s="4" t="s">
        <v>14</v>
      </c>
      <c r="D728" s="4" t="s">
        <v>15</v>
      </c>
      <c r="E728" s="5" t="str">
        <f>"9050253"</f>
        <v>9050253</v>
      </c>
      <c r="F728" s="3" t="s">
        <v>2292</v>
      </c>
      <c r="G728" s="5">
        <v>2102463100</v>
      </c>
      <c r="H728" s="4" t="s">
        <v>2293</v>
      </c>
      <c r="I728" s="4" t="s">
        <v>2169</v>
      </c>
      <c r="J728" s="4" t="s">
        <v>2170</v>
      </c>
      <c r="K728" s="4" t="s">
        <v>2294</v>
      </c>
      <c r="L728" s="5">
        <v>13671</v>
      </c>
    </row>
    <row r="729" spans="1:12" x14ac:dyDescent="0.25">
      <c r="A729" s="3" t="s">
        <v>1057</v>
      </c>
      <c r="B729" s="4" t="s">
        <v>2166</v>
      </c>
      <c r="C729" s="4" t="s">
        <v>14</v>
      </c>
      <c r="D729" s="4" t="s">
        <v>15</v>
      </c>
      <c r="E729" s="5" t="str">
        <f>"9050600"</f>
        <v>9050600</v>
      </c>
      <c r="F729" s="3" t="s">
        <v>2295</v>
      </c>
      <c r="G729" s="5">
        <v>2106611100</v>
      </c>
      <c r="H729" s="4" t="s">
        <v>2296</v>
      </c>
      <c r="I729" s="4" t="s">
        <v>2193</v>
      </c>
      <c r="J729" s="4" t="s">
        <v>2283</v>
      </c>
      <c r="K729" s="4" t="s">
        <v>2198</v>
      </c>
      <c r="L729" s="5">
        <v>15344</v>
      </c>
    </row>
    <row r="730" spans="1:12" x14ac:dyDescent="0.25">
      <c r="A730" s="3" t="s">
        <v>1057</v>
      </c>
      <c r="B730" s="4" t="s">
        <v>2166</v>
      </c>
      <c r="C730" s="4" t="s">
        <v>14</v>
      </c>
      <c r="D730" s="4" t="s">
        <v>15</v>
      </c>
      <c r="E730" s="5" t="str">
        <f>"9050579"</f>
        <v>9050579</v>
      </c>
      <c r="F730" s="3" t="s">
        <v>2297</v>
      </c>
      <c r="G730" s="5">
        <v>2294063419</v>
      </c>
      <c r="H730" s="4" t="s">
        <v>2298</v>
      </c>
      <c r="I730" s="4" t="s">
        <v>2299</v>
      </c>
      <c r="J730" s="4" t="s">
        <v>2300</v>
      </c>
      <c r="K730" s="4" t="s">
        <v>2301</v>
      </c>
      <c r="L730" s="5">
        <v>19007</v>
      </c>
    </row>
    <row r="731" spans="1:12" x14ac:dyDescent="0.25">
      <c r="A731" s="3" t="s">
        <v>1057</v>
      </c>
      <c r="B731" s="4" t="s">
        <v>2166</v>
      </c>
      <c r="C731" s="4" t="s">
        <v>14</v>
      </c>
      <c r="D731" s="4" t="s">
        <v>15</v>
      </c>
      <c r="E731" s="5" t="str">
        <f>"9050568"</f>
        <v>9050568</v>
      </c>
      <c r="F731" s="3" t="s">
        <v>2302</v>
      </c>
      <c r="G731" s="5">
        <v>2291079262</v>
      </c>
      <c r="H731" s="4" t="s">
        <v>2303</v>
      </c>
      <c r="I731" s="4" t="s">
        <v>2304</v>
      </c>
      <c r="J731" s="4" t="s">
        <v>2305</v>
      </c>
      <c r="K731" s="4" t="s">
        <v>2306</v>
      </c>
      <c r="L731" s="5">
        <v>19013</v>
      </c>
    </row>
    <row r="732" spans="1:12" x14ac:dyDescent="0.25">
      <c r="A732" s="3" t="s">
        <v>1057</v>
      </c>
      <c r="B732" s="4" t="s">
        <v>2166</v>
      </c>
      <c r="C732" s="4" t="s">
        <v>25</v>
      </c>
      <c r="D732" s="4" t="s">
        <v>26</v>
      </c>
      <c r="E732" s="5" t="str">
        <f>"9050567"</f>
        <v>9050567</v>
      </c>
      <c r="F732" s="3" t="s">
        <v>2307</v>
      </c>
      <c r="G732" s="5">
        <v>2291037746</v>
      </c>
      <c r="H732" s="4" t="s">
        <v>2308</v>
      </c>
      <c r="I732" s="4" t="s">
        <v>2304</v>
      </c>
      <c r="J732" s="4" t="s">
        <v>2309</v>
      </c>
      <c r="K732" s="4" t="s">
        <v>2310</v>
      </c>
      <c r="L732" s="5">
        <v>19013</v>
      </c>
    </row>
    <row r="733" spans="1:12" x14ac:dyDescent="0.25">
      <c r="A733" s="3" t="s">
        <v>1057</v>
      </c>
      <c r="B733" s="4" t="s">
        <v>2166</v>
      </c>
      <c r="C733" s="4" t="s">
        <v>25</v>
      </c>
      <c r="D733" s="4" t="s">
        <v>26</v>
      </c>
      <c r="E733" s="5" t="str">
        <f>"9050550"</f>
        <v>9050550</v>
      </c>
      <c r="F733" s="3" t="s">
        <v>2311</v>
      </c>
      <c r="G733" s="5">
        <v>2106622171</v>
      </c>
      <c r="H733" s="4" t="s">
        <v>2312</v>
      </c>
      <c r="I733" s="4" t="s">
        <v>2183</v>
      </c>
      <c r="J733" s="4" t="s">
        <v>2313</v>
      </c>
      <c r="K733" s="4" t="s">
        <v>2314</v>
      </c>
      <c r="L733" s="5">
        <v>19400</v>
      </c>
    </row>
    <row r="734" spans="1:12" x14ac:dyDescent="0.25">
      <c r="A734" s="3" t="s">
        <v>1057</v>
      </c>
      <c r="B734" s="4" t="s">
        <v>2166</v>
      </c>
      <c r="C734" s="4" t="s">
        <v>25</v>
      </c>
      <c r="D734" s="4" t="s">
        <v>26</v>
      </c>
      <c r="E734" s="5" t="str">
        <f>"9520957"</f>
        <v>9520957</v>
      </c>
      <c r="F734" s="3" t="s">
        <v>2315</v>
      </c>
      <c r="G734" s="5">
        <v>2291071241</v>
      </c>
      <c r="H734" s="4" t="s">
        <v>2316</v>
      </c>
      <c r="I734" s="4" t="s">
        <v>2304</v>
      </c>
      <c r="J734" s="4" t="s">
        <v>2317</v>
      </c>
      <c r="K734" s="4" t="s">
        <v>2318</v>
      </c>
      <c r="L734" s="5">
        <v>19010</v>
      </c>
    </row>
    <row r="735" spans="1:12" x14ac:dyDescent="0.25">
      <c r="A735" s="3" t="s">
        <v>1057</v>
      </c>
      <c r="B735" s="4" t="s">
        <v>2166</v>
      </c>
      <c r="C735" s="4" t="s">
        <v>25</v>
      </c>
      <c r="D735" s="4" t="s">
        <v>26</v>
      </c>
      <c r="E735" s="5" t="str">
        <f>"9050797"</f>
        <v>9050797</v>
      </c>
      <c r="F735" s="3" t="s">
        <v>2319</v>
      </c>
      <c r="G735" s="5">
        <v>2299063053</v>
      </c>
      <c r="H735" s="4" t="s">
        <v>2320</v>
      </c>
      <c r="I735" s="4" t="s">
        <v>2321</v>
      </c>
      <c r="J735" s="4" t="s">
        <v>2322</v>
      </c>
      <c r="K735" s="4" t="s">
        <v>2323</v>
      </c>
      <c r="L735" s="5">
        <v>19003</v>
      </c>
    </row>
    <row r="736" spans="1:12" x14ac:dyDescent="0.25">
      <c r="A736" s="3" t="s">
        <v>1057</v>
      </c>
      <c r="B736" s="4" t="s">
        <v>2166</v>
      </c>
      <c r="C736" s="4" t="s">
        <v>25</v>
      </c>
      <c r="D736" s="4" t="s">
        <v>26</v>
      </c>
      <c r="E736" s="5" t="str">
        <f>"9050546"</f>
        <v>9050546</v>
      </c>
      <c r="F736" s="3" t="s">
        <v>2324</v>
      </c>
      <c r="G736" s="5">
        <v>2299068532</v>
      </c>
      <c r="H736" s="4" t="s">
        <v>2325</v>
      </c>
      <c r="I736" s="4" t="s">
        <v>2326</v>
      </c>
      <c r="J736" s="4" t="s">
        <v>2327</v>
      </c>
      <c r="K736" s="4" t="s">
        <v>2328</v>
      </c>
      <c r="L736" s="5">
        <v>19001</v>
      </c>
    </row>
    <row r="737" spans="1:12" x14ac:dyDescent="0.25">
      <c r="A737" s="3" t="s">
        <v>1057</v>
      </c>
      <c r="B737" s="4" t="s">
        <v>2166</v>
      </c>
      <c r="C737" s="4" t="s">
        <v>25</v>
      </c>
      <c r="D737" s="4" t="s">
        <v>26</v>
      </c>
      <c r="E737" s="5" t="str">
        <f>"9050594"</f>
        <v>9050594</v>
      </c>
      <c r="F737" s="3" t="s">
        <v>2329</v>
      </c>
      <c r="G737" s="5">
        <v>2106642658</v>
      </c>
      <c r="H737" s="4" t="s">
        <v>2330</v>
      </c>
      <c r="I737" s="4" t="s">
        <v>2210</v>
      </c>
      <c r="J737" s="4" t="s">
        <v>2210</v>
      </c>
      <c r="K737" s="4" t="s">
        <v>2331</v>
      </c>
      <c r="L737" s="5">
        <v>19002</v>
      </c>
    </row>
    <row r="738" spans="1:12" x14ac:dyDescent="0.25">
      <c r="A738" s="3" t="s">
        <v>1057</v>
      </c>
      <c r="B738" s="4" t="s">
        <v>2166</v>
      </c>
      <c r="C738" s="4" t="s">
        <v>14</v>
      </c>
      <c r="D738" s="4" t="s">
        <v>15</v>
      </c>
      <c r="E738" s="5" t="str">
        <f>"9050195"</f>
        <v>9050195</v>
      </c>
      <c r="F738" s="3" t="s">
        <v>2332</v>
      </c>
      <c r="G738" s="5">
        <v>2108960051</v>
      </c>
      <c r="H738" s="4" t="s">
        <v>2333</v>
      </c>
      <c r="I738" s="4" t="s">
        <v>2240</v>
      </c>
      <c r="J738" s="4" t="s">
        <v>2334</v>
      </c>
      <c r="K738" s="4" t="s">
        <v>2335</v>
      </c>
      <c r="L738" s="5">
        <v>16671</v>
      </c>
    </row>
    <row r="739" spans="1:12" x14ac:dyDescent="0.25">
      <c r="A739" s="3" t="s">
        <v>1057</v>
      </c>
      <c r="B739" s="4" t="s">
        <v>2166</v>
      </c>
      <c r="C739" s="4" t="s">
        <v>25</v>
      </c>
      <c r="D739" s="4" t="s">
        <v>26</v>
      </c>
      <c r="E739" s="5" t="str">
        <f>"9051876"</f>
        <v>9051876</v>
      </c>
      <c r="F739" s="3" t="s">
        <v>2336</v>
      </c>
      <c r="G739" s="5">
        <v>2294098877</v>
      </c>
      <c r="H739" s="4" t="s">
        <v>2337</v>
      </c>
      <c r="I739" s="4" t="s">
        <v>2299</v>
      </c>
      <c r="J739" s="4" t="s">
        <v>2338</v>
      </c>
      <c r="K739" s="4" t="s">
        <v>2339</v>
      </c>
      <c r="L739" s="5">
        <v>19005</v>
      </c>
    </row>
    <row r="740" spans="1:12" x14ac:dyDescent="0.25">
      <c r="A740" s="3" t="s">
        <v>1057</v>
      </c>
      <c r="B740" s="4" t="s">
        <v>2166</v>
      </c>
      <c r="C740" s="4" t="s">
        <v>25</v>
      </c>
      <c r="D740" s="4" t="s">
        <v>26</v>
      </c>
      <c r="E740" s="5" t="str">
        <f>"9050589"</f>
        <v>9050589</v>
      </c>
      <c r="F740" s="3" t="s">
        <v>2340</v>
      </c>
      <c r="G740" s="5">
        <v>2294094451</v>
      </c>
      <c r="H740" s="4" t="s">
        <v>2341</v>
      </c>
      <c r="I740" s="4" t="s">
        <v>2299</v>
      </c>
      <c r="J740" s="4" t="s">
        <v>2338</v>
      </c>
      <c r="K740" s="4" t="s">
        <v>2342</v>
      </c>
      <c r="L740" s="5">
        <v>19005</v>
      </c>
    </row>
    <row r="741" spans="1:12" x14ac:dyDescent="0.25">
      <c r="A741" s="3" t="s">
        <v>1057</v>
      </c>
      <c r="B741" s="4" t="s">
        <v>2166</v>
      </c>
      <c r="C741" s="4" t="s">
        <v>25</v>
      </c>
      <c r="D741" s="4" t="s">
        <v>26</v>
      </c>
      <c r="E741" s="5" t="str">
        <f>"9051745"</f>
        <v>9051745</v>
      </c>
      <c r="F741" s="3" t="s">
        <v>2343</v>
      </c>
      <c r="G741" s="5">
        <v>2299067370</v>
      </c>
      <c r="H741" s="4" t="s">
        <v>2344</v>
      </c>
      <c r="I741" s="4" t="s">
        <v>2326</v>
      </c>
      <c r="J741" s="4" t="s">
        <v>2327</v>
      </c>
      <c r="K741" s="4" t="s">
        <v>2345</v>
      </c>
      <c r="L741" s="5">
        <v>19001</v>
      </c>
    </row>
    <row r="742" spans="1:12" x14ac:dyDescent="0.25">
      <c r="A742" s="3" t="s">
        <v>1057</v>
      </c>
      <c r="B742" s="4" t="s">
        <v>2166</v>
      </c>
      <c r="C742" s="4" t="s">
        <v>25</v>
      </c>
      <c r="D742" s="4" t="s">
        <v>26</v>
      </c>
      <c r="E742" s="5" t="str">
        <f>"9050795"</f>
        <v>9050795</v>
      </c>
      <c r="F742" s="3" t="s">
        <v>2346</v>
      </c>
      <c r="G742" s="5">
        <v>2106627753</v>
      </c>
      <c r="H742" s="4" t="s">
        <v>2347</v>
      </c>
      <c r="I742" s="4" t="s">
        <v>2183</v>
      </c>
      <c r="J742" s="4" t="s">
        <v>2313</v>
      </c>
      <c r="K742" s="4" t="s">
        <v>2348</v>
      </c>
      <c r="L742" s="5">
        <v>19400</v>
      </c>
    </row>
    <row r="743" spans="1:12" x14ac:dyDescent="0.25">
      <c r="A743" s="3" t="s">
        <v>1057</v>
      </c>
      <c r="B743" s="4" t="s">
        <v>2166</v>
      </c>
      <c r="C743" s="4" t="s">
        <v>14</v>
      </c>
      <c r="D743" s="4" t="s">
        <v>15</v>
      </c>
      <c r="E743" s="5" t="str">
        <f>"9050595"</f>
        <v>9050595</v>
      </c>
      <c r="F743" s="3" t="s">
        <v>2349</v>
      </c>
      <c r="G743" s="5">
        <v>2106642300</v>
      </c>
      <c r="H743" s="4" t="s">
        <v>2350</v>
      </c>
      <c r="I743" s="4" t="s">
        <v>2210</v>
      </c>
      <c r="J743" s="4" t="s">
        <v>2351</v>
      </c>
      <c r="K743" s="4" t="s">
        <v>2352</v>
      </c>
      <c r="L743" s="5">
        <v>19002</v>
      </c>
    </row>
    <row r="744" spans="1:12" x14ac:dyDescent="0.25">
      <c r="A744" s="3" t="s">
        <v>1057</v>
      </c>
      <c r="B744" s="4" t="s">
        <v>2166</v>
      </c>
      <c r="C744" s="4" t="s">
        <v>14</v>
      </c>
      <c r="D744" s="4" t="s">
        <v>15</v>
      </c>
      <c r="E744" s="5" t="str">
        <f>"9050569"</f>
        <v>9050569</v>
      </c>
      <c r="F744" s="3" t="s">
        <v>2353</v>
      </c>
      <c r="G744" s="5">
        <v>2108971511</v>
      </c>
      <c r="H744" s="4" t="s">
        <v>2354</v>
      </c>
      <c r="I744" s="4" t="s">
        <v>2240</v>
      </c>
      <c r="J744" s="4" t="s">
        <v>2355</v>
      </c>
      <c r="K744" s="4" t="s">
        <v>2356</v>
      </c>
      <c r="L744" s="5">
        <v>16672</v>
      </c>
    </row>
    <row r="745" spans="1:12" x14ac:dyDescent="0.25">
      <c r="A745" s="3" t="s">
        <v>1057</v>
      </c>
      <c r="B745" s="4" t="s">
        <v>2166</v>
      </c>
      <c r="C745" s="4" t="s">
        <v>25</v>
      </c>
      <c r="D745" s="4" t="s">
        <v>26</v>
      </c>
      <c r="E745" s="5" t="str">
        <f>"9051848"</f>
        <v>9051848</v>
      </c>
      <c r="F745" s="3" t="s">
        <v>2357</v>
      </c>
      <c r="G745" s="5">
        <v>2109653495</v>
      </c>
      <c r="H745" s="4" t="s">
        <v>2358</v>
      </c>
      <c r="I745" s="4" t="s">
        <v>2183</v>
      </c>
      <c r="J745" s="4" t="s">
        <v>2359</v>
      </c>
      <c r="K745" s="4" t="s">
        <v>2360</v>
      </c>
      <c r="L745" s="5">
        <v>19400</v>
      </c>
    </row>
    <row r="746" spans="1:12" x14ac:dyDescent="0.25">
      <c r="A746" s="3" t="s">
        <v>1057</v>
      </c>
      <c r="B746" s="4" t="s">
        <v>2166</v>
      </c>
      <c r="C746" s="4" t="s">
        <v>25</v>
      </c>
      <c r="D746" s="4" t="s">
        <v>26</v>
      </c>
      <c r="E746" s="5" t="str">
        <f>"9051586"</f>
        <v>9051586</v>
      </c>
      <c r="F746" s="3" t="s">
        <v>2361</v>
      </c>
      <c r="G746" s="5">
        <v>2106668577</v>
      </c>
      <c r="H746" s="4" t="s">
        <v>2362</v>
      </c>
      <c r="I746" s="4" t="s">
        <v>2193</v>
      </c>
      <c r="J746" s="4" t="s">
        <v>2363</v>
      </c>
      <c r="K746" s="4" t="s">
        <v>2364</v>
      </c>
      <c r="L746" s="5">
        <v>15349</v>
      </c>
    </row>
    <row r="747" spans="1:12" x14ac:dyDescent="0.25">
      <c r="A747" s="3" t="s">
        <v>1057</v>
      </c>
      <c r="B747" s="4" t="s">
        <v>2166</v>
      </c>
      <c r="C747" s="4" t="s">
        <v>25</v>
      </c>
      <c r="D747" s="4" t="s">
        <v>26</v>
      </c>
      <c r="E747" s="5" t="str">
        <f>"9520649"</f>
        <v>9520649</v>
      </c>
      <c r="F747" s="3" t="s">
        <v>2365</v>
      </c>
      <c r="G747" s="5">
        <v>2299072381</v>
      </c>
      <c r="H747" s="4" t="s">
        <v>2366</v>
      </c>
      <c r="I747" s="4" t="s">
        <v>2321</v>
      </c>
      <c r="J747" s="4" t="s">
        <v>2367</v>
      </c>
      <c r="K747" s="4" t="s">
        <v>2368</v>
      </c>
      <c r="L747" s="5">
        <v>19003</v>
      </c>
    </row>
    <row r="748" spans="1:12" x14ac:dyDescent="0.25">
      <c r="A748" s="3" t="s">
        <v>1057</v>
      </c>
      <c r="B748" s="4" t="s">
        <v>2166</v>
      </c>
      <c r="C748" s="4" t="s">
        <v>25</v>
      </c>
      <c r="D748" s="4" t="s">
        <v>26</v>
      </c>
      <c r="E748" s="5" t="str">
        <f>"9520495"</f>
        <v>9520495</v>
      </c>
      <c r="F748" s="3" t="s">
        <v>2369</v>
      </c>
      <c r="G748" s="5">
        <v>2108957687</v>
      </c>
      <c r="H748" s="4" t="s">
        <v>2370</v>
      </c>
      <c r="I748" s="4" t="s">
        <v>2240</v>
      </c>
      <c r="J748" s="4" t="s">
        <v>2371</v>
      </c>
      <c r="K748" s="4" t="s">
        <v>2372</v>
      </c>
      <c r="L748" s="5">
        <v>16673</v>
      </c>
    </row>
    <row r="749" spans="1:12" x14ac:dyDescent="0.25">
      <c r="A749" s="3" t="s">
        <v>1057</v>
      </c>
      <c r="B749" s="4" t="s">
        <v>2166</v>
      </c>
      <c r="C749" s="4" t="s">
        <v>14</v>
      </c>
      <c r="D749" s="4" t="s">
        <v>15</v>
      </c>
      <c r="E749" s="5" t="str">
        <f>"9520814"</f>
        <v>9520814</v>
      </c>
      <c r="F749" s="3" t="s">
        <v>2373</v>
      </c>
      <c r="G749" s="5">
        <v>2106032240</v>
      </c>
      <c r="H749" s="4" t="s">
        <v>2374</v>
      </c>
      <c r="I749" s="4" t="s">
        <v>2193</v>
      </c>
      <c r="J749" s="4" t="s">
        <v>2375</v>
      </c>
      <c r="K749" s="4" t="s">
        <v>2376</v>
      </c>
      <c r="L749" s="5">
        <v>15351</v>
      </c>
    </row>
    <row r="750" spans="1:12" x14ac:dyDescent="0.25">
      <c r="A750" s="3" t="s">
        <v>1057</v>
      </c>
      <c r="B750" s="4" t="s">
        <v>2166</v>
      </c>
      <c r="C750" s="4" t="s">
        <v>25</v>
      </c>
      <c r="D750" s="4" t="s">
        <v>26</v>
      </c>
      <c r="E750" s="5" t="str">
        <f>"9050557"</f>
        <v>9050557</v>
      </c>
      <c r="F750" s="3" t="s">
        <v>2377</v>
      </c>
      <c r="G750" s="5">
        <v>2292060134</v>
      </c>
      <c r="H750" s="4" t="s">
        <v>2378</v>
      </c>
      <c r="I750" s="4" t="s">
        <v>2326</v>
      </c>
      <c r="J750" s="4" t="s">
        <v>2379</v>
      </c>
      <c r="K750" s="4" t="s">
        <v>2380</v>
      </c>
      <c r="L750" s="5">
        <v>19500</v>
      </c>
    </row>
    <row r="751" spans="1:12" x14ac:dyDescent="0.25">
      <c r="A751" s="3" t="s">
        <v>1057</v>
      </c>
      <c r="B751" s="4" t="s">
        <v>2166</v>
      </c>
      <c r="C751" s="4" t="s">
        <v>25</v>
      </c>
      <c r="D751" s="4" t="s">
        <v>26</v>
      </c>
      <c r="E751" s="5" t="str">
        <f>"9051864"</f>
        <v>9051864</v>
      </c>
      <c r="F751" s="3" t="s">
        <v>2381</v>
      </c>
      <c r="G751" s="5">
        <v>2291091505</v>
      </c>
      <c r="H751" s="4" t="s">
        <v>2382</v>
      </c>
      <c r="I751" s="4" t="s">
        <v>2183</v>
      </c>
      <c r="J751" s="4" t="s">
        <v>2383</v>
      </c>
      <c r="K751" s="4" t="s">
        <v>2384</v>
      </c>
      <c r="L751" s="5">
        <v>19400</v>
      </c>
    </row>
    <row r="752" spans="1:12" x14ac:dyDescent="0.25">
      <c r="A752" s="3" t="s">
        <v>1057</v>
      </c>
      <c r="B752" s="4" t="s">
        <v>2166</v>
      </c>
      <c r="C752" s="4" t="s">
        <v>14</v>
      </c>
      <c r="D752" s="4" t="s">
        <v>15</v>
      </c>
      <c r="E752" s="5" t="str">
        <f>"9051872"</f>
        <v>9051872</v>
      </c>
      <c r="F752" s="3" t="s">
        <v>2385</v>
      </c>
      <c r="G752" s="5">
        <v>2106614042</v>
      </c>
      <c r="H752" s="4" t="s">
        <v>2386</v>
      </c>
      <c r="I752" s="4" t="s">
        <v>2193</v>
      </c>
      <c r="J752" s="4" t="s">
        <v>2283</v>
      </c>
      <c r="K752" s="4" t="s">
        <v>2387</v>
      </c>
      <c r="L752" s="5">
        <v>15344</v>
      </c>
    </row>
    <row r="753" spans="1:12" x14ac:dyDescent="0.25">
      <c r="A753" s="3" t="s">
        <v>1057</v>
      </c>
      <c r="B753" s="4" t="s">
        <v>2166</v>
      </c>
      <c r="C753" s="4" t="s">
        <v>14</v>
      </c>
      <c r="D753" s="4" t="s">
        <v>15</v>
      </c>
      <c r="E753" s="5" t="str">
        <f>"9050574"</f>
        <v>9050574</v>
      </c>
      <c r="F753" s="3" t="s">
        <v>2388</v>
      </c>
      <c r="G753" s="5">
        <v>2299048246</v>
      </c>
      <c r="H753" s="4" t="s">
        <v>2389</v>
      </c>
      <c r="I753" s="4" t="s">
        <v>2304</v>
      </c>
      <c r="J753" s="4" t="s">
        <v>2390</v>
      </c>
      <c r="K753" s="4" t="s">
        <v>2391</v>
      </c>
      <c r="L753" s="5">
        <v>19010</v>
      </c>
    </row>
    <row r="754" spans="1:12" x14ac:dyDescent="0.25">
      <c r="A754" s="3" t="s">
        <v>1057</v>
      </c>
      <c r="B754" s="4" t="s">
        <v>2166</v>
      </c>
      <c r="C754" s="4" t="s">
        <v>25</v>
      </c>
      <c r="D754" s="4" t="s">
        <v>26</v>
      </c>
      <c r="E754" s="5" t="str">
        <f>"9051849"</f>
        <v>9051849</v>
      </c>
      <c r="F754" s="3" t="s">
        <v>2392</v>
      </c>
      <c r="G754" s="5">
        <v>2106029488</v>
      </c>
      <c r="H754" s="4" t="s">
        <v>2393</v>
      </c>
      <c r="I754" s="4" t="s">
        <v>2210</v>
      </c>
      <c r="J754" s="4" t="s">
        <v>2210</v>
      </c>
      <c r="K754" s="4" t="s">
        <v>2394</v>
      </c>
      <c r="L754" s="5">
        <v>19002</v>
      </c>
    </row>
    <row r="755" spans="1:12" x14ac:dyDescent="0.25">
      <c r="A755" s="3" t="s">
        <v>1057</v>
      </c>
      <c r="B755" s="4" t="s">
        <v>2166</v>
      </c>
      <c r="C755" s="4" t="s">
        <v>14</v>
      </c>
      <c r="D755" s="4" t="s">
        <v>15</v>
      </c>
      <c r="E755" s="5" t="str">
        <f>"9051118"</f>
        <v>9051118</v>
      </c>
      <c r="F755" s="3" t="s">
        <v>2395</v>
      </c>
      <c r="G755" s="5">
        <v>2106611797</v>
      </c>
      <c r="H755" s="4" t="s">
        <v>2396</v>
      </c>
      <c r="I755" s="4" t="s">
        <v>2210</v>
      </c>
      <c r="J755" s="4" t="s">
        <v>2397</v>
      </c>
      <c r="K755" s="4" t="s">
        <v>2398</v>
      </c>
      <c r="L755" s="5">
        <v>15354</v>
      </c>
    </row>
    <row r="756" spans="1:12" x14ac:dyDescent="0.25">
      <c r="A756" s="3" t="s">
        <v>1057</v>
      </c>
      <c r="B756" s="4" t="s">
        <v>2166</v>
      </c>
      <c r="C756" s="4" t="s">
        <v>25</v>
      </c>
      <c r="D756" s="4" t="s">
        <v>26</v>
      </c>
      <c r="E756" s="5" t="str">
        <f>"9051912"</f>
        <v>9051912</v>
      </c>
      <c r="F756" s="3" t="s">
        <v>2399</v>
      </c>
      <c r="G756" s="5">
        <v>2291053727</v>
      </c>
      <c r="H756" s="4" t="s">
        <v>2400</v>
      </c>
      <c r="I756" s="4" t="s">
        <v>2304</v>
      </c>
      <c r="J756" s="4" t="s">
        <v>2401</v>
      </c>
      <c r="K756" s="4" t="s">
        <v>2402</v>
      </c>
      <c r="L756" s="5">
        <v>19013</v>
      </c>
    </row>
    <row r="757" spans="1:12" x14ac:dyDescent="0.25">
      <c r="A757" s="3" t="s">
        <v>1057</v>
      </c>
      <c r="B757" s="4" t="s">
        <v>2166</v>
      </c>
      <c r="C757" s="4" t="s">
        <v>25</v>
      </c>
      <c r="D757" s="4" t="s">
        <v>26</v>
      </c>
      <c r="E757" s="5" t="str">
        <f>"9051216"</f>
        <v>9051216</v>
      </c>
      <c r="F757" s="3" t="s">
        <v>2403</v>
      </c>
      <c r="G757" s="5">
        <v>2106021006</v>
      </c>
      <c r="H757" s="4" t="s">
        <v>2404</v>
      </c>
      <c r="I757" s="4" t="s">
        <v>2183</v>
      </c>
      <c r="J757" s="4" t="s">
        <v>2313</v>
      </c>
      <c r="K757" s="4" t="s">
        <v>2405</v>
      </c>
      <c r="L757" s="5">
        <v>19400</v>
      </c>
    </row>
    <row r="758" spans="1:12" x14ac:dyDescent="0.25">
      <c r="A758" s="3" t="s">
        <v>1057</v>
      </c>
      <c r="B758" s="4" t="s">
        <v>2166</v>
      </c>
      <c r="C758" s="4" t="s">
        <v>14</v>
      </c>
      <c r="D758" s="4" t="s">
        <v>15</v>
      </c>
      <c r="E758" s="5" t="str">
        <f>"9050606"</f>
        <v>9050606</v>
      </c>
      <c r="F758" s="3" t="s">
        <v>2406</v>
      </c>
      <c r="G758" s="5">
        <v>2106039514</v>
      </c>
      <c r="H758" s="4" t="s">
        <v>2407</v>
      </c>
      <c r="I758" s="4" t="s">
        <v>2218</v>
      </c>
      <c r="J758" s="4" t="s">
        <v>2408</v>
      </c>
      <c r="K758" s="4" t="s">
        <v>2256</v>
      </c>
      <c r="L758" s="5">
        <v>19009</v>
      </c>
    </row>
    <row r="759" spans="1:12" x14ac:dyDescent="0.25">
      <c r="A759" s="3" t="s">
        <v>1057</v>
      </c>
      <c r="B759" s="4" t="s">
        <v>2166</v>
      </c>
      <c r="C759" s="4" t="s">
        <v>14</v>
      </c>
      <c r="D759" s="4" t="s">
        <v>15</v>
      </c>
      <c r="E759" s="5" t="str">
        <f>"9050584"</f>
        <v>9050584</v>
      </c>
      <c r="F759" s="3" t="s">
        <v>2409</v>
      </c>
      <c r="G759" s="5">
        <v>2299025234</v>
      </c>
      <c r="H759" s="4" t="s">
        <v>2410</v>
      </c>
      <c r="I759" s="4" t="s">
        <v>2321</v>
      </c>
      <c r="J759" s="4" t="s">
        <v>2411</v>
      </c>
      <c r="K759" s="4" t="s">
        <v>2412</v>
      </c>
      <c r="L759" s="5">
        <v>19003</v>
      </c>
    </row>
    <row r="760" spans="1:12" x14ac:dyDescent="0.25">
      <c r="A760" s="3" t="s">
        <v>1057</v>
      </c>
      <c r="B760" s="4" t="s">
        <v>2166</v>
      </c>
      <c r="C760" s="4" t="s">
        <v>14</v>
      </c>
      <c r="D760" s="4" t="s">
        <v>15</v>
      </c>
      <c r="E760" s="5" t="str">
        <f>"9051612"</f>
        <v>9051612</v>
      </c>
      <c r="F760" s="3" t="s">
        <v>2413</v>
      </c>
      <c r="G760" s="5">
        <v>2106645290</v>
      </c>
      <c r="H760" s="4" t="s">
        <v>2414</v>
      </c>
      <c r="I760" s="4" t="s">
        <v>2210</v>
      </c>
      <c r="J760" s="4" t="s">
        <v>2287</v>
      </c>
      <c r="K760" s="4" t="s">
        <v>2415</v>
      </c>
      <c r="L760" s="5">
        <v>19002</v>
      </c>
    </row>
    <row r="761" spans="1:12" x14ac:dyDescent="0.25">
      <c r="A761" s="3" t="s">
        <v>1057</v>
      </c>
      <c r="B761" s="4" t="s">
        <v>2166</v>
      </c>
      <c r="C761" s="4" t="s">
        <v>14</v>
      </c>
      <c r="D761" s="4" t="s">
        <v>15</v>
      </c>
      <c r="E761" s="5" t="str">
        <f>"9050572"</f>
        <v>9050572</v>
      </c>
      <c r="F761" s="3" t="s">
        <v>2416</v>
      </c>
      <c r="G761" s="5">
        <v>2294061242</v>
      </c>
      <c r="H761" s="4" t="s">
        <v>2417</v>
      </c>
      <c r="I761" s="4" t="s">
        <v>2299</v>
      </c>
      <c r="J761" s="4" t="s">
        <v>2418</v>
      </c>
      <c r="K761" s="4" t="s">
        <v>2419</v>
      </c>
      <c r="L761" s="5">
        <v>19007</v>
      </c>
    </row>
    <row r="762" spans="1:12" x14ac:dyDescent="0.25">
      <c r="A762" s="3" t="s">
        <v>1057</v>
      </c>
      <c r="B762" s="4" t="s">
        <v>2166</v>
      </c>
      <c r="C762" s="4" t="s">
        <v>14</v>
      </c>
      <c r="D762" s="4" t="s">
        <v>15</v>
      </c>
      <c r="E762" s="5" t="str">
        <f>"9051859"</f>
        <v>9051859</v>
      </c>
      <c r="F762" s="3" t="s">
        <v>2420</v>
      </c>
      <c r="G762" s="5">
        <v>2294050610</v>
      </c>
      <c r="H762" s="4" t="s">
        <v>2421</v>
      </c>
      <c r="I762" s="4" t="s">
        <v>2299</v>
      </c>
      <c r="J762" s="4" t="s">
        <v>2422</v>
      </c>
      <c r="K762" s="4" t="s">
        <v>2423</v>
      </c>
      <c r="L762" s="5">
        <v>19005</v>
      </c>
    </row>
    <row r="763" spans="1:12" x14ac:dyDescent="0.25">
      <c r="A763" s="3" t="s">
        <v>1057</v>
      </c>
      <c r="B763" s="4" t="s">
        <v>2166</v>
      </c>
      <c r="C763" s="4" t="s">
        <v>14</v>
      </c>
      <c r="D763" s="4" t="s">
        <v>15</v>
      </c>
      <c r="E763" s="5" t="str">
        <f>"9051833"</f>
        <v>9051833</v>
      </c>
      <c r="F763" s="3" t="s">
        <v>2424</v>
      </c>
      <c r="G763" s="5">
        <v>2106667489</v>
      </c>
      <c r="H763" s="4" t="s">
        <v>2425</v>
      </c>
      <c r="I763" s="4" t="s">
        <v>2193</v>
      </c>
      <c r="J763" s="4" t="s">
        <v>2375</v>
      </c>
      <c r="K763" s="4" t="s">
        <v>2426</v>
      </c>
      <c r="L763" s="5">
        <v>15351</v>
      </c>
    </row>
    <row r="764" spans="1:12" x14ac:dyDescent="0.25">
      <c r="A764" s="3" t="s">
        <v>1057</v>
      </c>
      <c r="B764" s="4" t="s">
        <v>2166</v>
      </c>
      <c r="C764" s="4" t="s">
        <v>25</v>
      </c>
      <c r="D764" s="4" t="s">
        <v>26</v>
      </c>
      <c r="E764" s="5" t="str">
        <f>"9051502"</f>
        <v>9051502</v>
      </c>
      <c r="F764" s="3" t="s">
        <v>2427</v>
      </c>
      <c r="G764" s="5">
        <v>2294084700</v>
      </c>
      <c r="H764" s="4" t="s">
        <v>2428</v>
      </c>
      <c r="I764" s="4" t="s">
        <v>2188</v>
      </c>
      <c r="J764" s="4" t="s">
        <v>2189</v>
      </c>
      <c r="K764" s="4" t="s">
        <v>2429</v>
      </c>
      <c r="L764" s="5">
        <v>19016</v>
      </c>
    </row>
    <row r="765" spans="1:12" x14ac:dyDescent="0.25">
      <c r="A765" s="3" t="s">
        <v>1057</v>
      </c>
      <c r="B765" s="4" t="s">
        <v>2166</v>
      </c>
      <c r="C765" s="4" t="s">
        <v>14</v>
      </c>
      <c r="D765" s="4" t="s">
        <v>15</v>
      </c>
      <c r="E765" s="5" t="str">
        <f>"9050582"</f>
        <v>9050582</v>
      </c>
      <c r="F765" s="3" t="s">
        <v>2430</v>
      </c>
      <c r="G765" s="5">
        <v>2294320337</v>
      </c>
      <c r="H765" s="4" t="s">
        <v>2431</v>
      </c>
      <c r="I765" s="4" t="s">
        <v>2299</v>
      </c>
      <c r="J765" s="4" t="s">
        <v>2432</v>
      </c>
      <c r="K765" s="4" t="s">
        <v>2433</v>
      </c>
      <c r="L765" s="5">
        <v>19007</v>
      </c>
    </row>
    <row r="766" spans="1:12" x14ac:dyDescent="0.25">
      <c r="A766" s="3" t="s">
        <v>1057</v>
      </c>
      <c r="B766" s="4" t="s">
        <v>2166</v>
      </c>
      <c r="C766" s="4" t="s">
        <v>25</v>
      </c>
      <c r="D766" s="4" t="s">
        <v>26</v>
      </c>
      <c r="E766" s="5" t="str">
        <f>"9050605"</f>
        <v>9050605</v>
      </c>
      <c r="F766" s="3" t="s">
        <v>2434</v>
      </c>
      <c r="G766" s="5">
        <v>2106667690</v>
      </c>
      <c r="H766" s="4" t="s">
        <v>2435</v>
      </c>
      <c r="I766" s="4" t="s">
        <v>2193</v>
      </c>
      <c r="J766" s="4" t="s">
        <v>2193</v>
      </c>
      <c r="K766" s="4" t="s">
        <v>2436</v>
      </c>
      <c r="L766" s="5">
        <v>15351</v>
      </c>
    </row>
    <row r="767" spans="1:12" x14ac:dyDescent="0.25">
      <c r="A767" s="3" t="s">
        <v>1057</v>
      </c>
      <c r="B767" s="4" t="s">
        <v>2166</v>
      </c>
      <c r="C767" s="4" t="s">
        <v>25</v>
      </c>
      <c r="D767" s="4" t="s">
        <v>26</v>
      </c>
      <c r="E767" s="5" t="str">
        <f>"9051875"</f>
        <v>9051875</v>
      </c>
      <c r="F767" s="3" t="s">
        <v>2437</v>
      </c>
      <c r="G767" s="5">
        <v>2299048643</v>
      </c>
      <c r="H767" s="4" t="s">
        <v>2438</v>
      </c>
      <c r="I767" s="4" t="s">
        <v>2304</v>
      </c>
      <c r="J767" s="4" t="s">
        <v>2317</v>
      </c>
      <c r="K767" s="4" t="s">
        <v>2439</v>
      </c>
      <c r="L767" s="5">
        <v>19010</v>
      </c>
    </row>
    <row r="768" spans="1:12" x14ac:dyDescent="0.25">
      <c r="A768" s="3" t="s">
        <v>1057</v>
      </c>
      <c r="B768" s="4" t="s">
        <v>2166</v>
      </c>
      <c r="C768" s="4" t="s">
        <v>14</v>
      </c>
      <c r="D768" s="4" t="s">
        <v>15</v>
      </c>
      <c r="E768" s="5" t="str">
        <f>"9051484"</f>
        <v>9051484</v>
      </c>
      <c r="F768" s="3" t="s">
        <v>2440</v>
      </c>
      <c r="G768" s="5">
        <v>2102464423</v>
      </c>
      <c r="H768" s="4" t="s">
        <v>2441</v>
      </c>
      <c r="I768" s="4" t="s">
        <v>2169</v>
      </c>
      <c r="J768" s="4" t="s">
        <v>2170</v>
      </c>
      <c r="K768" s="4" t="s">
        <v>2442</v>
      </c>
      <c r="L768" s="5">
        <v>13678</v>
      </c>
    </row>
    <row r="769" spans="1:12" x14ac:dyDescent="0.25">
      <c r="A769" s="3" t="s">
        <v>1057</v>
      </c>
      <c r="B769" s="4" t="s">
        <v>2166</v>
      </c>
      <c r="C769" s="4" t="s">
        <v>14</v>
      </c>
      <c r="D769" s="4" t="s">
        <v>15</v>
      </c>
      <c r="E769" s="5" t="str">
        <f>"9050588"</f>
        <v>9050588</v>
      </c>
      <c r="F769" s="3" t="s">
        <v>2443</v>
      </c>
      <c r="G769" s="5">
        <v>2294095978</v>
      </c>
      <c r="H769" s="4" t="s">
        <v>2444</v>
      </c>
      <c r="I769" s="4" t="s">
        <v>2299</v>
      </c>
      <c r="J769" s="4" t="s">
        <v>2445</v>
      </c>
      <c r="K769" s="4" t="s">
        <v>2446</v>
      </c>
      <c r="L769" s="5">
        <v>19005</v>
      </c>
    </row>
    <row r="770" spans="1:12" x14ac:dyDescent="0.25">
      <c r="A770" s="3" t="s">
        <v>1057</v>
      </c>
      <c r="B770" s="4" t="s">
        <v>2166</v>
      </c>
      <c r="C770" s="4" t="s">
        <v>14</v>
      </c>
      <c r="D770" s="4" t="s">
        <v>15</v>
      </c>
      <c r="E770" s="5" t="str">
        <f>"9050935"</f>
        <v>9050935</v>
      </c>
      <c r="F770" s="3" t="s">
        <v>2447</v>
      </c>
      <c r="G770" s="5">
        <v>2106021780</v>
      </c>
      <c r="H770" s="4" t="s">
        <v>2448</v>
      </c>
      <c r="I770" s="4" t="s">
        <v>2183</v>
      </c>
      <c r="J770" s="4" t="s">
        <v>2184</v>
      </c>
      <c r="K770" s="4" t="s">
        <v>2449</v>
      </c>
      <c r="L770" s="5">
        <v>19400</v>
      </c>
    </row>
    <row r="771" spans="1:12" x14ac:dyDescent="0.25">
      <c r="A771" s="3" t="s">
        <v>1057</v>
      </c>
      <c r="B771" s="4" t="s">
        <v>2166</v>
      </c>
      <c r="C771" s="4" t="s">
        <v>14</v>
      </c>
      <c r="D771" s="4" t="s">
        <v>15</v>
      </c>
      <c r="E771" s="5" t="str">
        <f>"9050292"</f>
        <v>9050292</v>
      </c>
      <c r="F771" s="3" t="s">
        <v>2450</v>
      </c>
      <c r="G771" s="5">
        <v>2108150500</v>
      </c>
      <c r="H771" s="4" t="s">
        <v>2451</v>
      </c>
      <c r="I771" s="4" t="s">
        <v>2452</v>
      </c>
      <c r="J771" s="4" t="s">
        <v>2453</v>
      </c>
      <c r="K771" s="4" t="s">
        <v>2454</v>
      </c>
      <c r="L771" s="5">
        <v>14576</v>
      </c>
    </row>
    <row r="772" spans="1:12" x14ac:dyDescent="0.25">
      <c r="A772" s="3" t="s">
        <v>1057</v>
      </c>
      <c r="B772" s="4" t="s">
        <v>2166</v>
      </c>
      <c r="C772" s="4" t="s">
        <v>14</v>
      </c>
      <c r="D772" s="4" t="s">
        <v>15</v>
      </c>
      <c r="E772" s="5" t="str">
        <f>"9051374"</f>
        <v>9051374</v>
      </c>
      <c r="F772" s="3" t="s">
        <v>2455</v>
      </c>
      <c r="G772" s="5">
        <v>2106659830</v>
      </c>
      <c r="H772" s="4" t="s">
        <v>2456</v>
      </c>
      <c r="I772" s="4" t="s">
        <v>2210</v>
      </c>
      <c r="J772" s="4" t="s">
        <v>2457</v>
      </c>
      <c r="K772" s="4" t="s">
        <v>2458</v>
      </c>
      <c r="L772" s="5">
        <v>15354</v>
      </c>
    </row>
    <row r="773" spans="1:12" x14ac:dyDescent="0.25">
      <c r="A773" s="3" t="s">
        <v>1057</v>
      </c>
      <c r="B773" s="4" t="s">
        <v>2166</v>
      </c>
      <c r="C773" s="4" t="s">
        <v>25</v>
      </c>
      <c r="D773" s="4" t="s">
        <v>26</v>
      </c>
      <c r="E773" s="5" t="str">
        <f>"9520547"</f>
        <v>9520547</v>
      </c>
      <c r="F773" s="3" t="s">
        <v>2459</v>
      </c>
      <c r="G773" s="5">
        <v>2108955678</v>
      </c>
      <c r="H773" s="4" t="s">
        <v>2460</v>
      </c>
      <c r="I773" s="4" t="s">
        <v>2240</v>
      </c>
      <c r="J773" s="4" t="s">
        <v>2461</v>
      </c>
      <c r="K773" s="4" t="s">
        <v>2462</v>
      </c>
      <c r="L773" s="5">
        <v>16673</v>
      </c>
    </row>
    <row r="774" spans="1:12" x14ac:dyDescent="0.25">
      <c r="A774" s="3" t="s">
        <v>1057</v>
      </c>
      <c r="B774" s="4" t="s">
        <v>2166</v>
      </c>
      <c r="C774" s="4" t="s">
        <v>14</v>
      </c>
      <c r="D774" s="4" t="s">
        <v>15</v>
      </c>
      <c r="E774" s="5" t="str">
        <f>"9051845"</f>
        <v>9051845</v>
      </c>
      <c r="F774" s="3" t="s">
        <v>2463</v>
      </c>
      <c r="G774" s="5">
        <v>2106042600</v>
      </c>
      <c r="H774" s="4" t="s">
        <v>2464</v>
      </c>
      <c r="I774" s="4" t="s">
        <v>2193</v>
      </c>
      <c r="J774" s="4" t="s">
        <v>2375</v>
      </c>
      <c r="K774" s="4" t="s">
        <v>2465</v>
      </c>
      <c r="L774" s="5">
        <v>15351</v>
      </c>
    </row>
    <row r="775" spans="1:12" x14ac:dyDescent="0.25">
      <c r="A775" s="3" t="s">
        <v>1057</v>
      </c>
      <c r="B775" s="4" t="s">
        <v>2166</v>
      </c>
      <c r="C775" s="4" t="s">
        <v>25</v>
      </c>
      <c r="D775" s="4" t="s">
        <v>26</v>
      </c>
      <c r="E775" s="5" t="str">
        <f>"9051252"</f>
        <v>9051252</v>
      </c>
      <c r="F775" s="3" t="s">
        <v>2466</v>
      </c>
      <c r="G775" s="5">
        <v>2109653157</v>
      </c>
      <c r="H775" s="4" t="s">
        <v>2467</v>
      </c>
      <c r="I775" s="4" t="s">
        <v>2240</v>
      </c>
      <c r="J775" s="4" t="s">
        <v>2355</v>
      </c>
      <c r="K775" s="4" t="s">
        <v>2468</v>
      </c>
      <c r="L775" s="5">
        <v>16672</v>
      </c>
    </row>
    <row r="776" spans="1:12" x14ac:dyDescent="0.25">
      <c r="A776" s="3" t="s">
        <v>1057</v>
      </c>
      <c r="B776" s="4" t="s">
        <v>2166</v>
      </c>
      <c r="C776" s="4" t="s">
        <v>14</v>
      </c>
      <c r="D776" s="4" t="s">
        <v>15</v>
      </c>
      <c r="E776" s="5" t="str">
        <f>"9050608"</f>
        <v>9050608</v>
      </c>
      <c r="F776" s="3" t="s">
        <v>2469</v>
      </c>
      <c r="G776" s="5">
        <v>2294024700</v>
      </c>
      <c r="H776" s="4" t="s">
        <v>2470</v>
      </c>
      <c r="I776" s="4" t="s">
        <v>2218</v>
      </c>
      <c r="J776" s="4" t="s">
        <v>2471</v>
      </c>
      <c r="K776" s="4" t="s">
        <v>2472</v>
      </c>
      <c r="L776" s="5">
        <v>19009</v>
      </c>
    </row>
    <row r="777" spans="1:12" x14ac:dyDescent="0.25">
      <c r="A777" s="3" t="s">
        <v>1057</v>
      </c>
      <c r="B777" s="4" t="s">
        <v>2166</v>
      </c>
      <c r="C777" s="4" t="s">
        <v>14</v>
      </c>
      <c r="D777" s="4" t="s">
        <v>15</v>
      </c>
      <c r="E777" s="5" t="str">
        <f>"9050280"</f>
        <v>9050280</v>
      </c>
      <c r="F777" s="3" t="s">
        <v>2473</v>
      </c>
      <c r="G777" s="5">
        <v>2295052233</v>
      </c>
      <c r="H777" s="4" t="s">
        <v>2474</v>
      </c>
      <c r="I777" s="4" t="s">
        <v>2475</v>
      </c>
      <c r="J777" s="4" t="s">
        <v>2476</v>
      </c>
      <c r="K777" s="4" t="s">
        <v>2477</v>
      </c>
      <c r="L777" s="5">
        <v>19014</v>
      </c>
    </row>
    <row r="778" spans="1:12" x14ac:dyDescent="0.25">
      <c r="A778" s="3" t="s">
        <v>1057</v>
      </c>
      <c r="B778" s="4" t="s">
        <v>2166</v>
      </c>
      <c r="C778" s="4" t="s">
        <v>25</v>
      </c>
      <c r="D778" s="4" t="s">
        <v>26</v>
      </c>
      <c r="E778" s="5" t="str">
        <f>"9050552"</f>
        <v>9050552</v>
      </c>
      <c r="F778" s="3" t="s">
        <v>2478</v>
      </c>
      <c r="G778" s="5">
        <v>2106626074</v>
      </c>
      <c r="H778" s="4" t="s">
        <v>2479</v>
      </c>
      <c r="I778" s="4" t="s">
        <v>2183</v>
      </c>
      <c r="J778" s="4" t="s">
        <v>2313</v>
      </c>
      <c r="K778" s="4" t="s">
        <v>2185</v>
      </c>
      <c r="L778" s="5">
        <v>19400</v>
      </c>
    </row>
    <row r="779" spans="1:12" x14ac:dyDescent="0.25">
      <c r="A779" s="3" t="s">
        <v>1057</v>
      </c>
      <c r="B779" s="4" t="s">
        <v>2166</v>
      </c>
      <c r="C779" s="4" t="s">
        <v>14</v>
      </c>
      <c r="D779" s="4" t="s">
        <v>15</v>
      </c>
      <c r="E779" s="5" t="str">
        <f>"9050561"</f>
        <v>9050561</v>
      </c>
      <c r="F779" s="3" t="s">
        <v>2480</v>
      </c>
      <c r="G779" s="5">
        <v>2294082228</v>
      </c>
      <c r="H779" s="4" t="s">
        <v>2481</v>
      </c>
      <c r="I779" s="4" t="s">
        <v>2188</v>
      </c>
      <c r="J779" s="4" t="s">
        <v>2271</v>
      </c>
      <c r="K779" s="4" t="s">
        <v>2482</v>
      </c>
      <c r="L779" s="5">
        <v>19016</v>
      </c>
    </row>
    <row r="780" spans="1:12" x14ac:dyDescent="0.25">
      <c r="A780" s="3" t="s">
        <v>1057</v>
      </c>
      <c r="B780" s="4" t="s">
        <v>2166</v>
      </c>
      <c r="C780" s="4" t="s">
        <v>14</v>
      </c>
      <c r="D780" s="4" t="s">
        <v>15</v>
      </c>
      <c r="E780" s="5" t="str">
        <f>"9051471"</f>
        <v>9051471</v>
      </c>
      <c r="F780" s="3" t="s">
        <v>2483</v>
      </c>
      <c r="G780" s="5">
        <v>2291090312</v>
      </c>
      <c r="H780" s="4" t="s">
        <v>2484</v>
      </c>
      <c r="I780" s="4" t="s">
        <v>2183</v>
      </c>
      <c r="J780" s="4" t="s">
        <v>2485</v>
      </c>
      <c r="K780" s="4" t="s">
        <v>2486</v>
      </c>
      <c r="L780" s="5">
        <v>19400</v>
      </c>
    </row>
    <row r="781" spans="1:12" x14ac:dyDescent="0.25">
      <c r="A781" s="3" t="s">
        <v>1057</v>
      </c>
      <c r="B781" s="4" t="s">
        <v>2166</v>
      </c>
      <c r="C781" s="4" t="s">
        <v>25</v>
      </c>
      <c r="D781" s="4" t="s">
        <v>26</v>
      </c>
      <c r="E781" s="5" t="str">
        <f>"9051834"</f>
        <v>9051834</v>
      </c>
      <c r="F781" s="3" t="s">
        <v>2487</v>
      </c>
      <c r="G781" s="5">
        <v>2106668203</v>
      </c>
      <c r="H781" s="4" t="s">
        <v>2488</v>
      </c>
      <c r="I781" s="4" t="s">
        <v>2193</v>
      </c>
      <c r="J781" s="4" t="s">
        <v>2375</v>
      </c>
      <c r="K781" s="4" t="s">
        <v>2489</v>
      </c>
      <c r="L781" s="5">
        <v>15351</v>
      </c>
    </row>
    <row r="782" spans="1:12" x14ac:dyDescent="0.25">
      <c r="A782" s="3" t="s">
        <v>1057</v>
      </c>
      <c r="B782" s="4" t="s">
        <v>2166</v>
      </c>
      <c r="C782" s="4" t="s">
        <v>25</v>
      </c>
      <c r="D782" s="4" t="s">
        <v>26</v>
      </c>
      <c r="E782" s="5" t="str">
        <f>"9051850"</f>
        <v>9051850</v>
      </c>
      <c r="F782" s="3" t="s">
        <v>2490</v>
      </c>
      <c r="G782" s="5">
        <v>2106645951</v>
      </c>
      <c r="H782" s="4" t="s">
        <v>2491</v>
      </c>
      <c r="I782" s="4" t="s">
        <v>2210</v>
      </c>
      <c r="J782" s="4" t="s">
        <v>2210</v>
      </c>
      <c r="K782" s="4" t="s">
        <v>2492</v>
      </c>
      <c r="L782" s="5">
        <v>19002</v>
      </c>
    </row>
    <row r="783" spans="1:12" x14ac:dyDescent="0.25">
      <c r="A783" s="3" t="s">
        <v>1057</v>
      </c>
      <c r="B783" s="4" t="s">
        <v>2166</v>
      </c>
      <c r="C783" s="4" t="s">
        <v>25</v>
      </c>
      <c r="D783" s="4" t="s">
        <v>26</v>
      </c>
      <c r="E783" s="5" t="str">
        <f>"9520647"</f>
        <v>9520647</v>
      </c>
      <c r="F783" s="3" t="s">
        <v>2493</v>
      </c>
      <c r="G783" s="5">
        <v>2299024564</v>
      </c>
      <c r="H783" s="4" t="s">
        <v>2494</v>
      </c>
      <c r="I783" s="4" t="s">
        <v>2321</v>
      </c>
      <c r="J783" s="4" t="s">
        <v>2495</v>
      </c>
      <c r="K783" s="4" t="s">
        <v>2496</v>
      </c>
      <c r="L783" s="5">
        <v>19003</v>
      </c>
    </row>
    <row r="784" spans="1:12" x14ac:dyDescent="0.25">
      <c r="A784" s="3" t="s">
        <v>1057</v>
      </c>
      <c r="B784" s="4" t="s">
        <v>2166</v>
      </c>
      <c r="C784" s="4" t="s">
        <v>14</v>
      </c>
      <c r="D784" s="4" t="s">
        <v>15</v>
      </c>
      <c r="E784" s="5" t="str">
        <f>"9050590"</f>
        <v>9050590</v>
      </c>
      <c r="F784" s="3" t="s">
        <v>2497</v>
      </c>
      <c r="G784" s="5">
        <v>2294091353</v>
      </c>
      <c r="H784" s="4" t="s">
        <v>2498</v>
      </c>
      <c r="I784" s="4" t="s">
        <v>2299</v>
      </c>
      <c r="J784" s="4" t="s">
        <v>2499</v>
      </c>
      <c r="K784" s="4" t="s">
        <v>2500</v>
      </c>
      <c r="L784" s="5">
        <v>19005</v>
      </c>
    </row>
    <row r="785" spans="1:12" x14ac:dyDescent="0.25">
      <c r="A785" s="3" t="s">
        <v>1057</v>
      </c>
      <c r="B785" s="4" t="s">
        <v>2166</v>
      </c>
      <c r="C785" s="4" t="s">
        <v>14</v>
      </c>
      <c r="D785" s="4" t="s">
        <v>15</v>
      </c>
      <c r="E785" s="5" t="str">
        <f>"9050556"</f>
        <v>9050556</v>
      </c>
      <c r="F785" s="3" t="s">
        <v>2501</v>
      </c>
      <c r="G785" s="5">
        <v>2292025324</v>
      </c>
      <c r="H785" s="4" t="s">
        <v>2502</v>
      </c>
      <c r="I785" s="4" t="s">
        <v>2326</v>
      </c>
      <c r="J785" s="4" t="s">
        <v>2503</v>
      </c>
      <c r="K785" s="4" t="s">
        <v>2504</v>
      </c>
      <c r="L785" s="5">
        <v>19500</v>
      </c>
    </row>
    <row r="786" spans="1:12" x14ac:dyDescent="0.25">
      <c r="A786" s="3" t="s">
        <v>1057</v>
      </c>
      <c r="B786" s="4" t="s">
        <v>2166</v>
      </c>
      <c r="C786" s="4" t="s">
        <v>25</v>
      </c>
      <c r="D786" s="4" t="s">
        <v>26</v>
      </c>
      <c r="E786" s="5" t="str">
        <f>"9051427"</f>
        <v>9051427</v>
      </c>
      <c r="F786" s="3" t="s">
        <v>2505</v>
      </c>
      <c r="G786" s="5">
        <v>2299072867</v>
      </c>
      <c r="H786" s="4" t="s">
        <v>2506</v>
      </c>
      <c r="I786" s="4" t="s">
        <v>2321</v>
      </c>
      <c r="J786" s="4" t="s">
        <v>2507</v>
      </c>
      <c r="K786" s="4" t="s">
        <v>2508</v>
      </c>
      <c r="L786" s="5">
        <v>19003</v>
      </c>
    </row>
    <row r="787" spans="1:12" x14ac:dyDescent="0.25">
      <c r="A787" s="3" t="s">
        <v>1057</v>
      </c>
      <c r="B787" s="4" t="s">
        <v>2166</v>
      </c>
      <c r="C787" s="4" t="s">
        <v>14</v>
      </c>
      <c r="D787" s="4" t="s">
        <v>15</v>
      </c>
      <c r="E787" s="5" t="str">
        <f>"9050189"</f>
        <v>9050189</v>
      </c>
      <c r="F787" s="3" t="s">
        <v>2509</v>
      </c>
      <c r="G787" s="5">
        <v>2108958373</v>
      </c>
      <c r="H787" s="4" t="s">
        <v>2510</v>
      </c>
      <c r="I787" s="4" t="s">
        <v>2240</v>
      </c>
      <c r="J787" s="4" t="s">
        <v>2461</v>
      </c>
      <c r="K787" s="4" t="s">
        <v>2511</v>
      </c>
      <c r="L787" s="5">
        <v>16673</v>
      </c>
    </row>
    <row r="788" spans="1:12" x14ac:dyDescent="0.25">
      <c r="A788" s="3" t="s">
        <v>1057</v>
      </c>
      <c r="B788" s="4" t="s">
        <v>2166</v>
      </c>
      <c r="C788" s="4" t="s">
        <v>14</v>
      </c>
      <c r="D788" s="4" t="s">
        <v>15</v>
      </c>
      <c r="E788" s="5" t="str">
        <f>"9050577"</f>
        <v>9050577</v>
      </c>
      <c r="F788" s="3" t="s">
        <v>2512</v>
      </c>
      <c r="G788" s="5">
        <v>2299042463</v>
      </c>
      <c r="H788" s="4" t="s">
        <v>2513</v>
      </c>
      <c r="I788" s="4" t="s">
        <v>2304</v>
      </c>
      <c r="J788" s="4" t="s">
        <v>2514</v>
      </c>
      <c r="K788" s="4" t="s">
        <v>2515</v>
      </c>
      <c r="L788" s="5">
        <v>19003</v>
      </c>
    </row>
    <row r="789" spans="1:12" x14ac:dyDescent="0.25">
      <c r="A789" s="3" t="s">
        <v>1057</v>
      </c>
      <c r="B789" s="4" t="s">
        <v>2166</v>
      </c>
      <c r="C789" s="4" t="s">
        <v>14</v>
      </c>
      <c r="D789" s="4" t="s">
        <v>15</v>
      </c>
      <c r="E789" s="5" t="str">
        <f>"9051891"</f>
        <v>9051891</v>
      </c>
      <c r="F789" s="3" t="s">
        <v>2516</v>
      </c>
      <c r="G789" s="5">
        <v>2291071617</v>
      </c>
      <c r="H789" s="4" t="s">
        <v>2517</v>
      </c>
      <c r="I789" s="4" t="s">
        <v>2304</v>
      </c>
      <c r="J789" s="4" t="s">
        <v>2518</v>
      </c>
      <c r="K789" s="4" t="s">
        <v>2519</v>
      </c>
      <c r="L789" s="5">
        <v>19010</v>
      </c>
    </row>
    <row r="790" spans="1:12" x14ac:dyDescent="0.25">
      <c r="A790" s="3" t="s">
        <v>1057</v>
      </c>
      <c r="B790" s="4" t="s">
        <v>2166</v>
      </c>
      <c r="C790" s="4" t="s">
        <v>14</v>
      </c>
      <c r="D790" s="4" t="s">
        <v>15</v>
      </c>
      <c r="E790" s="5" t="str">
        <f>"9051482"</f>
        <v>9051482</v>
      </c>
      <c r="F790" s="3" t="s">
        <v>2520</v>
      </c>
      <c r="G790" s="5">
        <v>2108973798</v>
      </c>
      <c r="H790" s="4" t="s">
        <v>2521</v>
      </c>
      <c r="I790" s="4" t="s">
        <v>2183</v>
      </c>
      <c r="J790" s="4" t="s">
        <v>2522</v>
      </c>
      <c r="K790" s="4" t="s">
        <v>2523</v>
      </c>
      <c r="L790" s="5">
        <v>19442</v>
      </c>
    </row>
    <row r="791" spans="1:12" x14ac:dyDescent="0.25">
      <c r="A791" s="3" t="s">
        <v>1057</v>
      </c>
      <c r="B791" s="4" t="s">
        <v>2166</v>
      </c>
      <c r="C791" s="4" t="s">
        <v>14</v>
      </c>
      <c r="D791" s="4" t="s">
        <v>15</v>
      </c>
      <c r="E791" s="5" t="str">
        <f>"9050936"</f>
        <v>9050936</v>
      </c>
      <c r="F791" s="3" t="s">
        <v>2524</v>
      </c>
      <c r="G791" s="5">
        <v>2299022190</v>
      </c>
      <c r="H791" s="4" t="s">
        <v>2525</v>
      </c>
      <c r="I791" s="4" t="s">
        <v>2321</v>
      </c>
      <c r="J791" s="4" t="s">
        <v>2526</v>
      </c>
      <c r="K791" s="4" t="s">
        <v>2527</v>
      </c>
      <c r="L791" s="5">
        <v>19003</v>
      </c>
    </row>
    <row r="792" spans="1:12" x14ac:dyDescent="0.25">
      <c r="A792" s="3" t="s">
        <v>1057</v>
      </c>
      <c r="B792" s="4" t="s">
        <v>2166</v>
      </c>
      <c r="C792" s="4" t="s">
        <v>14</v>
      </c>
      <c r="D792" s="4" t="s">
        <v>15</v>
      </c>
      <c r="E792" s="5" t="str">
        <f>"9050549"</f>
        <v>9050549</v>
      </c>
      <c r="F792" s="3" t="s">
        <v>2528</v>
      </c>
      <c r="G792" s="5">
        <v>2106622393</v>
      </c>
      <c r="H792" s="4" t="s">
        <v>2529</v>
      </c>
      <c r="I792" s="4" t="s">
        <v>2183</v>
      </c>
      <c r="J792" s="4" t="s">
        <v>2184</v>
      </c>
      <c r="K792" s="4" t="s">
        <v>2530</v>
      </c>
      <c r="L792" s="5">
        <v>19400</v>
      </c>
    </row>
    <row r="793" spans="1:12" x14ac:dyDescent="0.25">
      <c r="A793" s="3" t="s">
        <v>1057</v>
      </c>
      <c r="B793" s="4" t="s">
        <v>2166</v>
      </c>
      <c r="C793" s="4" t="s">
        <v>14</v>
      </c>
      <c r="D793" s="4" t="s">
        <v>15</v>
      </c>
      <c r="E793" s="5" t="str">
        <f>"9050585"</f>
        <v>9050585</v>
      </c>
      <c r="F793" s="3" t="s">
        <v>2531</v>
      </c>
      <c r="G793" s="5">
        <v>2299025433</v>
      </c>
      <c r="H793" s="4" t="s">
        <v>2532</v>
      </c>
      <c r="I793" s="4" t="s">
        <v>2321</v>
      </c>
      <c r="J793" s="4" t="s">
        <v>2533</v>
      </c>
      <c r="K793" s="4" t="s">
        <v>2534</v>
      </c>
      <c r="L793" s="5">
        <v>19003</v>
      </c>
    </row>
    <row r="794" spans="1:12" x14ac:dyDescent="0.25">
      <c r="A794" s="3" t="s">
        <v>1057</v>
      </c>
      <c r="B794" s="4" t="s">
        <v>2166</v>
      </c>
      <c r="C794" s="4" t="s">
        <v>14</v>
      </c>
      <c r="D794" s="4" t="s">
        <v>15</v>
      </c>
      <c r="E794" s="5" t="str">
        <f>"9050545"</f>
        <v>9050545</v>
      </c>
      <c r="F794" s="3" t="s">
        <v>2535</v>
      </c>
      <c r="G794" s="5">
        <v>2299042390</v>
      </c>
      <c r="H794" s="4" t="s">
        <v>2536</v>
      </c>
      <c r="I794" s="4" t="s">
        <v>2326</v>
      </c>
      <c r="J794" s="4" t="s">
        <v>2537</v>
      </c>
      <c r="K794" s="4" t="s">
        <v>2538</v>
      </c>
      <c r="L794" s="5">
        <v>19001</v>
      </c>
    </row>
    <row r="795" spans="1:12" x14ac:dyDescent="0.25">
      <c r="A795" s="3" t="s">
        <v>1057</v>
      </c>
      <c r="B795" s="4" t="s">
        <v>2166</v>
      </c>
      <c r="C795" s="4" t="s">
        <v>14</v>
      </c>
      <c r="D795" s="4" t="s">
        <v>15</v>
      </c>
      <c r="E795" s="5" t="str">
        <f>"9051846"</f>
        <v>9051846</v>
      </c>
      <c r="F795" s="3" t="s">
        <v>2539</v>
      </c>
      <c r="G795" s="5">
        <v>2106634670</v>
      </c>
      <c r="H795" s="4" t="s">
        <v>2540</v>
      </c>
      <c r="I795" s="4" t="s">
        <v>2188</v>
      </c>
      <c r="J795" s="4" t="s">
        <v>2263</v>
      </c>
      <c r="K795" s="4" t="s">
        <v>2541</v>
      </c>
      <c r="L795" s="5">
        <v>19004</v>
      </c>
    </row>
    <row r="796" spans="1:12" x14ac:dyDescent="0.25">
      <c r="A796" s="3" t="s">
        <v>1057</v>
      </c>
      <c r="B796" s="4" t="s">
        <v>2166</v>
      </c>
      <c r="C796" s="4" t="s">
        <v>25</v>
      </c>
      <c r="D796" s="4" t="s">
        <v>26</v>
      </c>
      <c r="E796" s="5" t="str">
        <f>"9050575"</f>
        <v>9050575</v>
      </c>
      <c r="F796" s="3" t="s">
        <v>2542</v>
      </c>
      <c r="G796" s="5">
        <v>2299049039</v>
      </c>
      <c r="H796" s="4" t="s">
        <v>2543</v>
      </c>
      <c r="I796" s="4" t="s">
        <v>2304</v>
      </c>
      <c r="J796" s="4" t="s">
        <v>2544</v>
      </c>
      <c r="K796" s="4" t="s">
        <v>2545</v>
      </c>
      <c r="L796" s="5">
        <v>19010</v>
      </c>
    </row>
    <row r="797" spans="1:12" x14ac:dyDescent="0.25">
      <c r="A797" s="3" t="s">
        <v>1057</v>
      </c>
      <c r="B797" s="4" t="s">
        <v>2166</v>
      </c>
      <c r="C797" s="4" t="s">
        <v>14</v>
      </c>
      <c r="D797" s="4" t="s">
        <v>15</v>
      </c>
      <c r="E797" s="5" t="str">
        <f>"9050554"</f>
        <v>9050554</v>
      </c>
      <c r="F797" s="3" t="s">
        <v>2546</v>
      </c>
      <c r="G797" s="5">
        <v>2292025323</v>
      </c>
      <c r="H797" s="4" t="s">
        <v>2547</v>
      </c>
      <c r="I797" s="4" t="s">
        <v>2326</v>
      </c>
      <c r="J797" s="4" t="s">
        <v>2503</v>
      </c>
      <c r="K797" s="4" t="s">
        <v>2548</v>
      </c>
      <c r="L797" s="5">
        <v>19500</v>
      </c>
    </row>
    <row r="798" spans="1:12" x14ac:dyDescent="0.25">
      <c r="A798" s="3" t="s">
        <v>1057</v>
      </c>
      <c r="B798" s="4" t="s">
        <v>2166</v>
      </c>
      <c r="C798" s="4" t="s">
        <v>14</v>
      </c>
      <c r="D798" s="4" t="s">
        <v>15</v>
      </c>
      <c r="E798" s="5" t="str">
        <f>"9051338"</f>
        <v>9051338</v>
      </c>
      <c r="F798" s="3" t="s">
        <v>2549</v>
      </c>
      <c r="G798" s="5">
        <v>2108958209</v>
      </c>
      <c r="H798" s="4" t="s">
        <v>2550</v>
      </c>
      <c r="I798" s="4" t="s">
        <v>2240</v>
      </c>
      <c r="J798" s="4" t="s">
        <v>2461</v>
      </c>
      <c r="K798" s="4" t="s">
        <v>2551</v>
      </c>
      <c r="L798" s="5">
        <v>16673</v>
      </c>
    </row>
    <row r="799" spans="1:12" x14ac:dyDescent="0.25">
      <c r="A799" s="3" t="s">
        <v>1057</v>
      </c>
      <c r="B799" s="4" t="s">
        <v>2166</v>
      </c>
      <c r="C799" s="4" t="s">
        <v>14</v>
      </c>
      <c r="D799" s="4" t="s">
        <v>15</v>
      </c>
      <c r="E799" s="5" t="str">
        <f>"9050604"</f>
        <v>9050604</v>
      </c>
      <c r="F799" s="3" t="s">
        <v>2552</v>
      </c>
      <c r="G799" s="5">
        <v>2106665387</v>
      </c>
      <c r="H799" s="4" t="s">
        <v>2553</v>
      </c>
      <c r="I799" s="4" t="s">
        <v>2193</v>
      </c>
      <c r="J799" s="4" t="s">
        <v>2375</v>
      </c>
      <c r="K799" s="4" t="s">
        <v>2554</v>
      </c>
      <c r="L799" s="5">
        <v>15351</v>
      </c>
    </row>
    <row r="800" spans="1:12" x14ac:dyDescent="0.25">
      <c r="A800" s="3" t="s">
        <v>1057</v>
      </c>
      <c r="B800" s="4" t="s">
        <v>2166</v>
      </c>
      <c r="C800" s="4" t="s">
        <v>14</v>
      </c>
      <c r="D800" s="4" t="s">
        <v>15</v>
      </c>
      <c r="E800" s="5" t="str">
        <f>"9051892"</f>
        <v>9051892</v>
      </c>
      <c r="F800" s="3" t="s">
        <v>2555</v>
      </c>
      <c r="G800" s="5">
        <v>2106030698</v>
      </c>
      <c r="H800" s="4" t="s">
        <v>2556</v>
      </c>
      <c r="I800" s="4" t="s">
        <v>2193</v>
      </c>
      <c r="J800" s="4" t="s">
        <v>2375</v>
      </c>
      <c r="K800" s="4" t="s">
        <v>2557</v>
      </c>
      <c r="L800" s="5">
        <v>15351</v>
      </c>
    </row>
    <row r="801" spans="1:12" x14ac:dyDescent="0.25">
      <c r="A801" s="3" t="s">
        <v>1057</v>
      </c>
      <c r="B801" s="4" t="s">
        <v>2166</v>
      </c>
      <c r="C801" s="4" t="s">
        <v>14</v>
      </c>
      <c r="D801" s="4" t="s">
        <v>15</v>
      </c>
      <c r="E801" s="5" t="str">
        <f>"9051483"</f>
        <v>9051483</v>
      </c>
      <c r="F801" s="3" t="s">
        <v>2558</v>
      </c>
      <c r="G801" s="5">
        <v>2106666287</v>
      </c>
      <c r="H801" s="4" t="s">
        <v>2559</v>
      </c>
      <c r="I801" s="4" t="s">
        <v>2193</v>
      </c>
      <c r="J801" s="4" t="s">
        <v>2375</v>
      </c>
      <c r="K801" s="4" t="s">
        <v>2560</v>
      </c>
      <c r="L801" s="5">
        <v>15351</v>
      </c>
    </row>
    <row r="802" spans="1:12" x14ac:dyDescent="0.25">
      <c r="A802" s="3" t="s">
        <v>1057</v>
      </c>
      <c r="B802" s="4" t="s">
        <v>2166</v>
      </c>
      <c r="C802" s="4" t="s">
        <v>14</v>
      </c>
      <c r="D802" s="4" t="s">
        <v>15</v>
      </c>
      <c r="E802" s="5" t="str">
        <f>"9521010"</f>
        <v>9521010</v>
      </c>
      <c r="F802" s="3" t="s">
        <v>2561</v>
      </c>
      <c r="G802" s="5">
        <v>2106618279</v>
      </c>
      <c r="H802" s="4" t="s">
        <v>2562</v>
      </c>
      <c r="I802" s="4" t="s">
        <v>2193</v>
      </c>
      <c r="J802" s="4" t="s">
        <v>2283</v>
      </c>
      <c r="K802" s="4" t="s">
        <v>2563</v>
      </c>
      <c r="L802" s="5">
        <v>15344</v>
      </c>
    </row>
    <row r="803" spans="1:12" x14ac:dyDescent="0.25">
      <c r="A803" s="3" t="s">
        <v>1057</v>
      </c>
      <c r="B803" s="4" t="s">
        <v>2166</v>
      </c>
      <c r="C803" s="4" t="s">
        <v>25</v>
      </c>
      <c r="D803" s="4" t="s">
        <v>26</v>
      </c>
      <c r="E803" s="5" t="str">
        <f>"9051913"</f>
        <v>9051913</v>
      </c>
      <c r="F803" s="3" t="s">
        <v>2564</v>
      </c>
      <c r="G803" s="5">
        <v>2291307002</v>
      </c>
      <c r="H803" s="4" t="s">
        <v>2565</v>
      </c>
      <c r="I803" s="4" t="s">
        <v>2304</v>
      </c>
      <c r="J803" s="4" t="s">
        <v>2566</v>
      </c>
      <c r="K803" s="4" t="s">
        <v>2567</v>
      </c>
      <c r="L803" s="5">
        <v>19013</v>
      </c>
    </row>
    <row r="804" spans="1:12" x14ac:dyDescent="0.25">
      <c r="A804" s="3" t="s">
        <v>1057</v>
      </c>
      <c r="B804" s="4" t="s">
        <v>2166</v>
      </c>
      <c r="C804" s="4" t="s">
        <v>25</v>
      </c>
      <c r="D804" s="4" t="s">
        <v>26</v>
      </c>
      <c r="E804" s="5" t="str">
        <f>"9051563"</f>
        <v>9051563</v>
      </c>
      <c r="F804" s="3" t="s">
        <v>2568</v>
      </c>
      <c r="G804" s="5">
        <v>2294055922</v>
      </c>
      <c r="H804" s="4" t="s">
        <v>2569</v>
      </c>
      <c r="I804" s="4" t="s">
        <v>2299</v>
      </c>
      <c r="J804" s="4" t="s">
        <v>2570</v>
      </c>
      <c r="K804" s="4" t="s">
        <v>2571</v>
      </c>
      <c r="L804" s="5">
        <v>19007</v>
      </c>
    </row>
    <row r="805" spans="1:12" x14ac:dyDescent="0.25">
      <c r="A805" s="3" t="s">
        <v>1057</v>
      </c>
      <c r="B805" s="4" t="s">
        <v>2166</v>
      </c>
      <c r="C805" s="4" t="s">
        <v>25</v>
      </c>
      <c r="D805" s="4" t="s">
        <v>26</v>
      </c>
      <c r="E805" s="5" t="str">
        <f>"9051041"</f>
        <v>9051041</v>
      </c>
      <c r="F805" s="3" t="s">
        <v>2572</v>
      </c>
      <c r="G805" s="5">
        <v>2291037786</v>
      </c>
      <c r="H805" s="4" t="s">
        <v>2573</v>
      </c>
      <c r="I805" s="4" t="s">
        <v>2304</v>
      </c>
      <c r="J805" s="4" t="s">
        <v>2574</v>
      </c>
      <c r="K805" s="4" t="s">
        <v>2575</v>
      </c>
      <c r="L805" s="5">
        <v>19013</v>
      </c>
    </row>
    <row r="806" spans="1:12" x14ac:dyDescent="0.25">
      <c r="A806" s="3" t="s">
        <v>1057</v>
      </c>
      <c r="B806" s="4" t="s">
        <v>2166</v>
      </c>
      <c r="C806" s="4" t="s">
        <v>14</v>
      </c>
      <c r="D806" s="4" t="s">
        <v>15</v>
      </c>
      <c r="E806" s="5" t="str">
        <f>"9050580"</f>
        <v>9050580</v>
      </c>
      <c r="F806" s="3" t="s">
        <v>2576</v>
      </c>
      <c r="G806" s="5">
        <v>2294066311</v>
      </c>
      <c r="H806" s="4" t="s">
        <v>2577</v>
      </c>
      <c r="I806" s="4" t="s">
        <v>2299</v>
      </c>
      <c r="J806" s="4" t="s">
        <v>2578</v>
      </c>
      <c r="K806" s="4" t="s">
        <v>2579</v>
      </c>
      <c r="L806" s="5">
        <v>19007</v>
      </c>
    </row>
    <row r="807" spans="1:12" x14ac:dyDescent="0.25">
      <c r="A807" s="3" t="s">
        <v>1057</v>
      </c>
      <c r="B807" s="4" t="s">
        <v>2166</v>
      </c>
      <c r="C807" s="4" t="s">
        <v>14</v>
      </c>
      <c r="D807" s="4" t="s">
        <v>15</v>
      </c>
      <c r="E807" s="5" t="str">
        <f>"9050194"</f>
        <v>9050194</v>
      </c>
      <c r="F807" s="3" t="s">
        <v>2580</v>
      </c>
      <c r="G807" s="5">
        <v>2108951272</v>
      </c>
      <c r="H807" s="4" t="s">
        <v>2581</v>
      </c>
      <c r="I807" s="4" t="s">
        <v>2240</v>
      </c>
      <c r="J807" s="4" t="s">
        <v>2461</v>
      </c>
      <c r="K807" s="4" t="s">
        <v>2582</v>
      </c>
      <c r="L807" s="5">
        <v>16673</v>
      </c>
    </row>
    <row r="808" spans="1:12" x14ac:dyDescent="0.25">
      <c r="A808" s="3" t="s">
        <v>1057</v>
      </c>
      <c r="B808" s="4" t="s">
        <v>2166</v>
      </c>
      <c r="C808" s="4" t="s">
        <v>25</v>
      </c>
      <c r="D808" s="4" t="s">
        <v>26</v>
      </c>
      <c r="E808" s="5" t="str">
        <f>"9051820"</f>
        <v>9051820</v>
      </c>
      <c r="F808" s="3" t="s">
        <v>2583</v>
      </c>
      <c r="G808" s="5">
        <v>2294095000</v>
      </c>
      <c r="H808" s="4" t="s">
        <v>2584</v>
      </c>
      <c r="I808" s="4" t="s">
        <v>2299</v>
      </c>
      <c r="J808" s="4" t="s">
        <v>2585</v>
      </c>
      <c r="K808" s="4" t="s">
        <v>2586</v>
      </c>
      <c r="L808" s="5">
        <v>19005</v>
      </c>
    </row>
    <row r="809" spans="1:12" ht="30" x14ac:dyDescent="0.25">
      <c r="A809" s="3" t="s">
        <v>1057</v>
      </c>
      <c r="B809" s="4" t="s">
        <v>2166</v>
      </c>
      <c r="C809" s="4" t="s">
        <v>14</v>
      </c>
      <c r="D809" s="4" t="s">
        <v>15</v>
      </c>
      <c r="E809" s="5" t="str">
        <f>"9050548"</f>
        <v>9050548</v>
      </c>
      <c r="F809" s="3" t="s">
        <v>2587</v>
      </c>
      <c r="G809" s="5">
        <v>2294091028</v>
      </c>
      <c r="H809" s="4" t="s">
        <v>2588</v>
      </c>
      <c r="I809" s="4" t="s">
        <v>2299</v>
      </c>
      <c r="J809" s="4" t="s">
        <v>2589</v>
      </c>
      <c r="K809" s="4" t="s">
        <v>2590</v>
      </c>
      <c r="L809" s="5">
        <v>19005</v>
      </c>
    </row>
    <row r="810" spans="1:12" x14ac:dyDescent="0.25">
      <c r="A810" s="3" t="s">
        <v>1057</v>
      </c>
      <c r="B810" s="4" t="s">
        <v>2166</v>
      </c>
      <c r="C810" s="4" t="s">
        <v>14</v>
      </c>
      <c r="D810" s="4" t="s">
        <v>15</v>
      </c>
      <c r="E810" s="5" t="str">
        <f>"9050295"</f>
        <v>9050295</v>
      </c>
      <c r="F810" s="3" t="s">
        <v>2591</v>
      </c>
      <c r="G810" s="5">
        <v>2295071947</v>
      </c>
      <c r="H810" s="4" t="s">
        <v>2592</v>
      </c>
      <c r="I810" s="4" t="s">
        <v>2475</v>
      </c>
      <c r="J810" s="4" t="s">
        <v>2593</v>
      </c>
      <c r="K810" s="4" t="s">
        <v>2594</v>
      </c>
      <c r="L810" s="5">
        <v>19015</v>
      </c>
    </row>
    <row r="811" spans="1:12" x14ac:dyDescent="0.25">
      <c r="A811" s="3" t="s">
        <v>1057</v>
      </c>
      <c r="B811" s="4" t="s">
        <v>2166</v>
      </c>
      <c r="C811" s="4" t="s">
        <v>14</v>
      </c>
      <c r="D811" s="4" t="s">
        <v>15</v>
      </c>
      <c r="E811" s="5" t="str">
        <f>"9520570"</f>
        <v>9520570</v>
      </c>
      <c r="F811" s="3" t="s">
        <v>2595</v>
      </c>
      <c r="G811" s="5">
        <v>2295029925</v>
      </c>
      <c r="H811" s="4" t="s">
        <v>2596</v>
      </c>
      <c r="I811" s="4" t="s">
        <v>2475</v>
      </c>
      <c r="J811" s="4" t="s">
        <v>2597</v>
      </c>
      <c r="K811" s="4" t="s">
        <v>2598</v>
      </c>
      <c r="L811" s="5">
        <v>19011</v>
      </c>
    </row>
    <row r="812" spans="1:12" x14ac:dyDescent="0.25">
      <c r="A812" s="3" t="s">
        <v>1057</v>
      </c>
      <c r="B812" s="4" t="s">
        <v>2166</v>
      </c>
      <c r="C812" s="4" t="s">
        <v>14</v>
      </c>
      <c r="D812" s="4" t="s">
        <v>15</v>
      </c>
      <c r="E812" s="5" t="str">
        <f>"9050562"</f>
        <v>9050562</v>
      </c>
      <c r="F812" s="3" t="s">
        <v>2599</v>
      </c>
      <c r="G812" s="5">
        <v>2106632211</v>
      </c>
      <c r="H812" s="4" t="s">
        <v>2600</v>
      </c>
      <c r="I812" s="4" t="s">
        <v>2188</v>
      </c>
      <c r="J812" s="4" t="s">
        <v>2263</v>
      </c>
      <c r="K812" s="4" t="s">
        <v>2601</v>
      </c>
      <c r="L812" s="5">
        <v>19004</v>
      </c>
    </row>
    <row r="813" spans="1:12" x14ac:dyDescent="0.25">
      <c r="A813" s="3" t="s">
        <v>1057</v>
      </c>
      <c r="B813" s="4" t="s">
        <v>2166</v>
      </c>
      <c r="C813" s="4" t="s">
        <v>14</v>
      </c>
      <c r="D813" s="4" t="s">
        <v>15</v>
      </c>
      <c r="E813" s="5" t="str">
        <f>"9051733"</f>
        <v>9051733</v>
      </c>
      <c r="F813" s="3" t="s">
        <v>2602</v>
      </c>
      <c r="G813" s="5">
        <v>2294048000</v>
      </c>
      <c r="H813" s="4" t="s">
        <v>2603</v>
      </c>
      <c r="I813" s="4" t="s">
        <v>2188</v>
      </c>
      <c r="J813" s="4" t="s">
        <v>2604</v>
      </c>
      <c r="K813" s="4" t="s">
        <v>2605</v>
      </c>
      <c r="L813" s="5">
        <v>19016</v>
      </c>
    </row>
    <row r="814" spans="1:12" x14ac:dyDescent="0.25">
      <c r="A814" s="3" t="s">
        <v>1057</v>
      </c>
      <c r="B814" s="4" t="s">
        <v>2166</v>
      </c>
      <c r="C814" s="4" t="s">
        <v>14</v>
      </c>
      <c r="D814" s="4" t="s">
        <v>15</v>
      </c>
      <c r="E814" s="5" t="str">
        <f>"9050543"</f>
        <v>9050543</v>
      </c>
      <c r="F814" s="3" t="s">
        <v>2606</v>
      </c>
      <c r="G814" s="5">
        <v>2299069310</v>
      </c>
      <c r="H814" s="4" t="s">
        <v>2607</v>
      </c>
      <c r="I814" s="4" t="s">
        <v>2326</v>
      </c>
      <c r="J814" s="4" t="s">
        <v>2608</v>
      </c>
      <c r="K814" s="4" t="s">
        <v>2609</v>
      </c>
      <c r="L814" s="5">
        <v>19001</v>
      </c>
    </row>
    <row r="815" spans="1:12" x14ac:dyDescent="0.25">
      <c r="A815" s="3" t="s">
        <v>1057</v>
      </c>
      <c r="B815" s="4" t="s">
        <v>2166</v>
      </c>
      <c r="C815" s="4" t="s">
        <v>25</v>
      </c>
      <c r="D815" s="4" t="s">
        <v>26</v>
      </c>
      <c r="E815" s="5" t="str">
        <f>"9051323"</f>
        <v>9051323</v>
      </c>
      <c r="F815" s="3" t="s">
        <v>2610</v>
      </c>
      <c r="G815" s="5">
        <v>2108958441</v>
      </c>
      <c r="H815" s="4" t="s">
        <v>2611</v>
      </c>
      <c r="I815" s="4" t="s">
        <v>2240</v>
      </c>
      <c r="J815" s="4" t="s">
        <v>2371</v>
      </c>
      <c r="K815" s="4" t="s">
        <v>2612</v>
      </c>
      <c r="L815" s="5">
        <v>16673</v>
      </c>
    </row>
    <row r="816" spans="1:12" x14ac:dyDescent="0.25">
      <c r="A816" s="3" t="s">
        <v>1057</v>
      </c>
      <c r="B816" s="4" t="s">
        <v>2166</v>
      </c>
      <c r="C816" s="4" t="s">
        <v>14</v>
      </c>
      <c r="D816" s="4" t="s">
        <v>15</v>
      </c>
      <c r="E816" s="5" t="str">
        <f>"9050609"</f>
        <v>9050609</v>
      </c>
      <c r="F816" s="3" t="s">
        <v>2613</v>
      </c>
      <c r="G816" s="5">
        <v>2294032503</v>
      </c>
      <c r="H816" s="4" t="s">
        <v>2614</v>
      </c>
      <c r="I816" s="4" t="s">
        <v>2218</v>
      </c>
      <c r="J816" s="4" t="s">
        <v>2471</v>
      </c>
      <c r="K816" s="4" t="s">
        <v>2615</v>
      </c>
      <c r="L816" s="5">
        <v>19009</v>
      </c>
    </row>
    <row r="817" spans="1:12" x14ac:dyDescent="0.25">
      <c r="A817" s="3" t="s">
        <v>1057</v>
      </c>
      <c r="B817" s="4" t="s">
        <v>2166</v>
      </c>
      <c r="C817" s="4" t="s">
        <v>25</v>
      </c>
      <c r="D817" s="4" t="s">
        <v>26</v>
      </c>
      <c r="E817" s="5" t="str">
        <f>"9050789"</f>
        <v>9050789</v>
      </c>
      <c r="F817" s="3" t="s">
        <v>2616</v>
      </c>
      <c r="G817" s="5">
        <v>2102460760</v>
      </c>
      <c r="H817" s="4" t="s">
        <v>2617</v>
      </c>
      <c r="I817" s="4" t="s">
        <v>2169</v>
      </c>
      <c r="J817" s="4" t="s">
        <v>2170</v>
      </c>
      <c r="K817" s="4" t="s">
        <v>2618</v>
      </c>
      <c r="L817" s="5">
        <v>13678</v>
      </c>
    </row>
    <row r="818" spans="1:12" x14ac:dyDescent="0.25">
      <c r="A818" s="3" t="s">
        <v>1057</v>
      </c>
      <c r="B818" s="4" t="s">
        <v>2166</v>
      </c>
      <c r="C818" s="4" t="s">
        <v>25</v>
      </c>
      <c r="D818" s="4" t="s">
        <v>26</v>
      </c>
      <c r="E818" s="5" t="str">
        <f>"9050790"</f>
        <v>9050790</v>
      </c>
      <c r="F818" s="3" t="s">
        <v>2619</v>
      </c>
      <c r="G818" s="5">
        <v>2102466655</v>
      </c>
      <c r="H818" s="4" t="s">
        <v>2620</v>
      </c>
      <c r="I818" s="4" t="s">
        <v>2169</v>
      </c>
      <c r="J818" s="4" t="s">
        <v>2169</v>
      </c>
      <c r="K818" s="4" t="s">
        <v>2621</v>
      </c>
      <c r="L818" s="5">
        <v>13674</v>
      </c>
    </row>
    <row r="819" spans="1:12" x14ac:dyDescent="0.25">
      <c r="A819" s="3" t="s">
        <v>1057</v>
      </c>
      <c r="B819" s="4" t="s">
        <v>2166</v>
      </c>
      <c r="C819" s="4" t="s">
        <v>25</v>
      </c>
      <c r="D819" s="4" t="s">
        <v>26</v>
      </c>
      <c r="E819" s="5" t="str">
        <f>"9050791"</f>
        <v>9050791</v>
      </c>
      <c r="F819" s="3" t="s">
        <v>2622</v>
      </c>
      <c r="G819" s="5">
        <v>2102466720</v>
      </c>
      <c r="H819" s="4" t="s">
        <v>2623</v>
      </c>
      <c r="I819" s="4" t="s">
        <v>2169</v>
      </c>
      <c r="J819" s="4" t="s">
        <v>2169</v>
      </c>
      <c r="K819" s="4" t="s">
        <v>2624</v>
      </c>
      <c r="L819" s="5">
        <v>13671</v>
      </c>
    </row>
    <row r="820" spans="1:12" x14ac:dyDescent="0.25">
      <c r="A820" s="3" t="s">
        <v>1057</v>
      </c>
      <c r="B820" s="4" t="s">
        <v>2166</v>
      </c>
      <c r="C820" s="4" t="s">
        <v>25</v>
      </c>
      <c r="D820" s="4" t="s">
        <v>26</v>
      </c>
      <c r="E820" s="5" t="str">
        <f>"9050792"</f>
        <v>9050792</v>
      </c>
      <c r="F820" s="3" t="s">
        <v>2625</v>
      </c>
      <c r="G820" s="5">
        <v>2102464880</v>
      </c>
      <c r="H820" s="4" t="s">
        <v>2626</v>
      </c>
      <c r="I820" s="4" t="s">
        <v>2169</v>
      </c>
      <c r="J820" s="4" t="s">
        <v>2169</v>
      </c>
      <c r="K820" s="4" t="s">
        <v>2627</v>
      </c>
      <c r="L820" s="5">
        <v>13671</v>
      </c>
    </row>
    <row r="821" spans="1:12" x14ac:dyDescent="0.25">
      <c r="A821" s="3" t="s">
        <v>1057</v>
      </c>
      <c r="B821" s="4" t="s">
        <v>2166</v>
      </c>
      <c r="C821" s="4" t="s">
        <v>25</v>
      </c>
      <c r="D821" s="4" t="s">
        <v>26</v>
      </c>
      <c r="E821" s="5" t="str">
        <f>"9050885"</f>
        <v>9050885</v>
      </c>
      <c r="F821" s="3" t="s">
        <v>2628</v>
      </c>
      <c r="G821" s="5">
        <v>2102466666</v>
      </c>
      <c r="H821" s="4" t="s">
        <v>2629</v>
      </c>
      <c r="I821" s="4" t="s">
        <v>2169</v>
      </c>
      <c r="J821" s="4" t="s">
        <v>2169</v>
      </c>
      <c r="K821" s="4" t="s">
        <v>2630</v>
      </c>
      <c r="L821" s="5">
        <v>13675</v>
      </c>
    </row>
    <row r="822" spans="1:12" x14ac:dyDescent="0.25">
      <c r="A822" s="3" t="s">
        <v>1057</v>
      </c>
      <c r="B822" s="4" t="s">
        <v>2166</v>
      </c>
      <c r="C822" s="4" t="s">
        <v>25</v>
      </c>
      <c r="D822" s="4" t="s">
        <v>26</v>
      </c>
      <c r="E822" s="5" t="str">
        <f>"9050788"</f>
        <v>9050788</v>
      </c>
      <c r="F822" s="3" t="s">
        <v>2631</v>
      </c>
      <c r="G822" s="5">
        <v>2102315040</v>
      </c>
      <c r="H822" s="4" t="s">
        <v>2632</v>
      </c>
      <c r="I822" s="4" t="s">
        <v>2169</v>
      </c>
      <c r="J822" s="4" t="s">
        <v>2169</v>
      </c>
      <c r="K822" s="4" t="s">
        <v>2633</v>
      </c>
      <c r="L822" s="5">
        <v>13671</v>
      </c>
    </row>
    <row r="823" spans="1:12" x14ac:dyDescent="0.25">
      <c r="A823" s="3" t="s">
        <v>1057</v>
      </c>
      <c r="B823" s="4" t="s">
        <v>2166</v>
      </c>
      <c r="C823" s="4" t="s">
        <v>25</v>
      </c>
      <c r="D823" s="4" t="s">
        <v>26</v>
      </c>
      <c r="E823" s="5" t="str">
        <f>"9050998"</f>
        <v>9050998</v>
      </c>
      <c r="F823" s="3" t="s">
        <v>2634</v>
      </c>
      <c r="G823" s="5">
        <v>2102465749</v>
      </c>
      <c r="H823" s="4" t="s">
        <v>2635</v>
      </c>
      <c r="I823" s="4" t="s">
        <v>2169</v>
      </c>
      <c r="J823" s="4" t="s">
        <v>2169</v>
      </c>
      <c r="K823" s="4" t="s">
        <v>2636</v>
      </c>
      <c r="L823" s="5">
        <v>13675</v>
      </c>
    </row>
    <row r="824" spans="1:12" x14ac:dyDescent="0.25">
      <c r="A824" s="3" t="s">
        <v>1057</v>
      </c>
      <c r="B824" s="4" t="s">
        <v>2166</v>
      </c>
      <c r="C824" s="4" t="s">
        <v>25</v>
      </c>
      <c r="D824" s="4" t="s">
        <v>26</v>
      </c>
      <c r="E824" s="5" t="str">
        <f>"9051043"</f>
        <v>9051043</v>
      </c>
      <c r="F824" s="3" t="s">
        <v>2637</v>
      </c>
      <c r="G824" s="5">
        <v>2102460969</v>
      </c>
      <c r="H824" s="4" t="s">
        <v>2638</v>
      </c>
      <c r="I824" s="4" t="s">
        <v>2169</v>
      </c>
      <c r="J824" s="4" t="s">
        <v>2169</v>
      </c>
      <c r="K824" s="4" t="s">
        <v>2639</v>
      </c>
      <c r="L824" s="5">
        <v>13671</v>
      </c>
    </row>
    <row r="825" spans="1:12" x14ac:dyDescent="0.25">
      <c r="A825" s="3" t="s">
        <v>1057</v>
      </c>
      <c r="B825" s="4" t="s">
        <v>2166</v>
      </c>
      <c r="C825" s="4" t="s">
        <v>25</v>
      </c>
      <c r="D825" s="4" t="s">
        <v>26</v>
      </c>
      <c r="E825" s="5" t="str">
        <f>"9051044"</f>
        <v>9051044</v>
      </c>
      <c r="F825" s="3" t="s">
        <v>2640</v>
      </c>
      <c r="G825" s="5">
        <v>2102466790</v>
      </c>
      <c r="H825" s="4" t="s">
        <v>2641</v>
      </c>
      <c r="I825" s="4" t="s">
        <v>2169</v>
      </c>
      <c r="J825" s="4" t="s">
        <v>2169</v>
      </c>
      <c r="K825" s="4" t="s">
        <v>2642</v>
      </c>
      <c r="L825" s="5">
        <v>13671</v>
      </c>
    </row>
    <row r="826" spans="1:12" x14ac:dyDescent="0.25">
      <c r="A826" s="3" t="s">
        <v>1057</v>
      </c>
      <c r="B826" s="4" t="s">
        <v>2166</v>
      </c>
      <c r="C826" s="4" t="s">
        <v>25</v>
      </c>
      <c r="D826" s="4" t="s">
        <v>26</v>
      </c>
      <c r="E826" s="5" t="str">
        <f>"9051219"</f>
        <v>9051219</v>
      </c>
      <c r="F826" s="3" t="s">
        <v>2643</v>
      </c>
      <c r="G826" s="5">
        <v>2102317485</v>
      </c>
      <c r="H826" s="4" t="s">
        <v>2644</v>
      </c>
      <c r="I826" s="4" t="s">
        <v>2169</v>
      </c>
      <c r="J826" s="4" t="s">
        <v>2170</v>
      </c>
      <c r="K826" s="4" t="s">
        <v>2645</v>
      </c>
      <c r="L826" s="5">
        <v>13671</v>
      </c>
    </row>
    <row r="827" spans="1:12" x14ac:dyDescent="0.25">
      <c r="A827" s="3" t="s">
        <v>1057</v>
      </c>
      <c r="B827" s="4" t="s">
        <v>2166</v>
      </c>
      <c r="C827" s="4" t="s">
        <v>25</v>
      </c>
      <c r="D827" s="4" t="s">
        <v>26</v>
      </c>
      <c r="E827" s="5" t="str">
        <f>"9051301"</f>
        <v>9051301</v>
      </c>
      <c r="F827" s="3" t="s">
        <v>2646</v>
      </c>
      <c r="G827" s="5">
        <v>2102432950</v>
      </c>
      <c r="H827" s="4" t="s">
        <v>2647</v>
      </c>
      <c r="I827" s="4" t="s">
        <v>2169</v>
      </c>
      <c r="J827" s="4" t="s">
        <v>2169</v>
      </c>
      <c r="K827" s="4" t="s">
        <v>2648</v>
      </c>
      <c r="L827" s="5">
        <v>13679</v>
      </c>
    </row>
    <row r="828" spans="1:12" x14ac:dyDescent="0.25">
      <c r="A828" s="3" t="s">
        <v>1057</v>
      </c>
      <c r="B828" s="4" t="s">
        <v>2166</v>
      </c>
      <c r="C828" s="4" t="s">
        <v>25</v>
      </c>
      <c r="D828" s="4" t="s">
        <v>26</v>
      </c>
      <c r="E828" s="5" t="str">
        <f>"9051505"</f>
        <v>9051505</v>
      </c>
      <c r="F828" s="3" t="s">
        <v>2649</v>
      </c>
      <c r="G828" s="5">
        <v>2102466001</v>
      </c>
      <c r="H828" s="4" t="s">
        <v>2650</v>
      </c>
      <c r="I828" s="4" t="s">
        <v>2169</v>
      </c>
      <c r="J828" s="4" t="s">
        <v>2169</v>
      </c>
      <c r="K828" s="4" t="s">
        <v>1665</v>
      </c>
      <c r="L828" s="5">
        <v>13671</v>
      </c>
    </row>
    <row r="829" spans="1:12" x14ac:dyDescent="0.25">
      <c r="A829" s="3" t="s">
        <v>1057</v>
      </c>
      <c r="B829" s="4" t="s">
        <v>2166</v>
      </c>
      <c r="C829" s="4" t="s">
        <v>25</v>
      </c>
      <c r="D829" s="4" t="s">
        <v>26</v>
      </c>
      <c r="E829" s="5" t="str">
        <f>"9051562"</f>
        <v>9051562</v>
      </c>
      <c r="F829" s="3" t="s">
        <v>2651</v>
      </c>
      <c r="G829" s="5">
        <v>2102432737</v>
      </c>
      <c r="H829" s="4" t="s">
        <v>2652</v>
      </c>
      <c r="I829" s="4" t="s">
        <v>2169</v>
      </c>
      <c r="J829" s="4" t="s">
        <v>2169</v>
      </c>
      <c r="K829" s="4" t="s">
        <v>2653</v>
      </c>
      <c r="L829" s="5">
        <v>13678</v>
      </c>
    </row>
    <row r="830" spans="1:12" x14ac:dyDescent="0.25">
      <c r="A830" s="3" t="s">
        <v>1057</v>
      </c>
      <c r="B830" s="4" t="s">
        <v>2166</v>
      </c>
      <c r="C830" s="4" t="s">
        <v>25</v>
      </c>
      <c r="D830" s="4" t="s">
        <v>26</v>
      </c>
      <c r="E830" s="5" t="str">
        <f>"9051775"</f>
        <v>9051775</v>
      </c>
      <c r="F830" s="3" t="s">
        <v>2654</v>
      </c>
      <c r="G830" s="5">
        <v>2102440488</v>
      </c>
      <c r="H830" s="4" t="s">
        <v>2655</v>
      </c>
      <c r="I830" s="4" t="s">
        <v>2169</v>
      </c>
      <c r="J830" s="4" t="s">
        <v>2170</v>
      </c>
      <c r="K830" s="4" t="s">
        <v>2656</v>
      </c>
      <c r="L830" s="5">
        <v>13673</v>
      </c>
    </row>
    <row r="831" spans="1:12" x14ac:dyDescent="0.25">
      <c r="A831" s="3" t="s">
        <v>1057</v>
      </c>
      <c r="B831" s="4" t="s">
        <v>2166</v>
      </c>
      <c r="C831" s="4" t="s">
        <v>25</v>
      </c>
      <c r="D831" s="4" t="s">
        <v>26</v>
      </c>
      <c r="E831" s="5" t="str">
        <f>"9051795"</f>
        <v>9051795</v>
      </c>
      <c r="F831" s="3" t="s">
        <v>2657</v>
      </c>
      <c r="G831" s="5">
        <v>2102466240</v>
      </c>
      <c r="H831" s="4" t="s">
        <v>2658</v>
      </c>
      <c r="I831" s="4" t="s">
        <v>2169</v>
      </c>
      <c r="J831" s="4" t="s">
        <v>2170</v>
      </c>
      <c r="K831" s="4" t="s">
        <v>2659</v>
      </c>
      <c r="L831" s="5">
        <v>13671</v>
      </c>
    </row>
    <row r="832" spans="1:12" x14ac:dyDescent="0.25">
      <c r="A832" s="3" t="s">
        <v>1057</v>
      </c>
      <c r="B832" s="4" t="s">
        <v>2166</v>
      </c>
      <c r="C832" s="4" t="s">
        <v>25</v>
      </c>
      <c r="D832" s="4" t="s">
        <v>26</v>
      </c>
      <c r="E832" s="5" t="str">
        <f>"9051911"</f>
        <v>9051911</v>
      </c>
      <c r="F832" s="3" t="s">
        <v>2660</v>
      </c>
      <c r="G832" s="5">
        <v>2102441510</v>
      </c>
      <c r="H832" s="4" t="s">
        <v>2661</v>
      </c>
      <c r="I832" s="4" t="s">
        <v>2169</v>
      </c>
      <c r="J832" s="4" t="s">
        <v>2170</v>
      </c>
      <c r="K832" s="4" t="s">
        <v>2662</v>
      </c>
      <c r="L832" s="5">
        <v>13671</v>
      </c>
    </row>
    <row r="833" spans="1:12" x14ac:dyDescent="0.25">
      <c r="A833" s="3" t="s">
        <v>1057</v>
      </c>
      <c r="B833" s="4" t="s">
        <v>2166</v>
      </c>
      <c r="C833" s="4" t="s">
        <v>25</v>
      </c>
      <c r="D833" s="4" t="s">
        <v>26</v>
      </c>
      <c r="E833" s="5" t="str">
        <f>"9051925"</f>
        <v>9051925</v>
      </c>
      <c r="F833" s="3" t="s">
        <v>2663</v>
      </c>
      <c r="G833" s="5">
        <v>2102444830</v>
      </c>
      <c r="H833" s="4" t="s">
        <v>2664</v>
      </c>
      <c r="I833" s="4" t="s">
        <v>2169</v>
      </c>
      <c r="J833" s="4" t="s">
        <v>2170</v>
      </c>
      <c r="K833" s="4" t="s">
        <v>2665</v>
      </c>
      <c r="L833" s="5">
        <v>13672</v>
      </c>
    </row>
    <row r="834" spans="1:12" x14ac:dyDescent="0.25">
      <c r="A834" s="3" t="s">
        <v>1057</v>
      </c>
      <c r="B834" s="4" t="s">
        <v>2166</v>
      </c>
      <c r="C834" s="4" t="s">
        <v>25</v>
      </c>
      <c r="D834" s="4" t="s">
        <v>26</v>
      </c>
      <c r="E834" s="5" t="str">
        <f>"9051926"</f>
        <v>9051926</v>
      </c>
      <c r="F834" s="3" t="s">
        <v>2666</v>
      </c>
      <c r="G834" s="5">
        <v>2102404455</v>
      </c>
      <c r="H834" s="4" t="s">
        <v>2667</v>
      </c>
      <c r="I834" s="4" t="s">
        <v>2169</v>
      </c>
      <c r="J834" s="4" t="s">
        <v>2169</v>
      </c>
      <c r="K834" s="4" t="s">
        <v>2668</v>
      </c>
      <c r="L834" s="5">
        <v>13672</v>
      </c>
    </row>
    <row r="835" spans="1:12" x14ac:dyDescent="0.25">
      <c r="A835" s="3" t="s">
        <v>1057</v>
      </c>
      <c r="B835" s="4" t="s">
        <v>2166</v>
      </c>
      <c r="C835" s="4" t="s">
        <v>25</v>
      </c>
      <c r="D835" s="4" t="s">
        <v>26</v>
      </c>
      <c r="E835" s="5" t="str">
        <f>"9520818"</f>
        <v>9520818</v>
      </c>
      <c r="F835" s="3" t="s">
        <v>2669</v>
      </c>
      <c r="G835" s="5">
        <v>2128098063</v>
      </c>
      <c r="H835" s="4" t="s">
        <v>2670</v>
      </c>
      <c r="I835" s="4" t="s">
        <v>2169</v>
      </c>
      <c r="J835" s="4" t="s">
        <v>2170</v>
      </c>
      <c r="K835" s="4" t="s">
        <v>2671</v>
      </c>
      <c r="L835" s="5">
        <v>13671</v>
      </c>
    </row>
    <row r="836" spans="1:12" x14ac:dyDescent="0.25">
      <c r="A836" s="3" t="s">
        <v>1057</v>
      </c>
      <c r="B836" s="4" t="s">
        <v>2166</v>
      </c>
      <c r="C836" s="4" t="s">
        <v>25</v>
      </c>
      <c r="D836" s="4" t="s">
        <v>26</v>
      </c>
      <c r="E836" s="5" t="str">
        <f>"9520819"</f>
        <v>9520819</v>
      </c>
      <c r="F836" s="3" t="s">
        <v>2672</v>
      </c>
      <c r="G836" s="5">
        <v>2102446944</v>
      </c>
      <c r="H836" s="4" t="s">
        <v>2673</v>
      </c>
      <c r="I836" s="4" t="s">
        <v>2169</v>
      </c>
      <c r="J836" s="4" t="s">
        <v>2170</v>
      </c>
      <c r="K836" s="4" t="s">
        <v>2674</v>
      </c>
      <c r="L836" s="5">
        <v>13678</v>
      </c>
    </row>
    <row r="837" spans="1:12" x14ac:dyDescent="0.25">
      <c r="A837" s="3" t="s">
        <v>1057</v>
      </c>
      <c r="B837" s="4" t="s">
        <v>2166</v>
      </c>
      <c r="C837" s="4" t="s">
        <v>25</v>
      </c>
      <c r="D837" s="4" t="s">
        <v>26</v>
      </c>
      <c r="E837" s="5" t="str">
        <f>"9051415"</f>
        <v>9051415</v>
      </c>
      <c r="F837" s="3" t="s">
        <v>2675</v>
      </c>
      <c r="G837" s="5">
        <v>2102432095</v>
      </c>
      <c r="H837" s="4" t="s">
        <v>2676</v>
      </c>
      <c r="I837" s="4" t="s">
        <v>2169</v>
      </c>
      <c r="J837" s="4" t="s">
        <v>2677</v>
      </c>
      <c r="K837" s="4" t="s">
        <v>2678</v>
      </c>
      <c r="L837" s="5">
        <v>13676</v>
      </c>
    </row>
    <row r="838" spans="1:12" x14ac:dyDescent="0.25">
      <c r="A838" s="3" t="s">
        <v>1057</v>
      </c>
      <c r="B838" s="4" t="s">
        <v>2166</v>
      </c>
      <c r="C838" s="4" t="s">
        <v>25</v>
      </c>
      <c r="D838" s="4" t="s">
        <v>26</v>
      </c>
      <c r="E838" s="5" t="str">
        <f>"9520559"</f>
        <v>9520559</v>
      </c>
      <c r="F838" s="3" t="s">
        <v>2679</v>
      </c>
      <c r="G838" s="5">
        <v>2102435160</v>
      </c>
      <c r="H838" s="4" t="s">
        <v>2680</v>
      </c>
      <c r="I838" s="4" t="s">
        <v>2169</v>
      </c>
      <c r="J838" s="4" t="s">
        <v>2677</v>
      </c>
      <c r="K838" s="4" t="s">
        <v>2681</v>
      </c>
      <c r="L838" s="5">
        <v>13676</v>
      </c>
    </row>
    <row r="839" spans="1:12" x14ac:dyDescent="0.25">
      <c r="A839" s="3" t="s">
        <v>1057</v>
      </c>
      <c r="B839" s="4" t="s">
        <v>2166</v>
      </c>
      <c r="C839" s="4" t="s">
        <v>25</v>
      </c>
      <c r="D839" s="4" t="s">
        <v>26</v>
      </c>
      <c r="E839" s="5" t="str">
        <f>"9051034"</f>
        <v>9051034</v>
      </c>
      <c r="F839" s="3" t="s">
        <v>2682</v>
      </c>
      <c r="G839" s="5">
        <v>2108141115</v>
      </c>
      <c r="H839" s="4" t="s">
        <v>2683</v>
      </c>
      <c r="I839" s="4" t="s">
        <v>2452</v>
      </c>
      <c r="J839" s="4" t="s">
        <v>2684</v>
      </c>
      <c r="K839" s="4" t="s">
        <v>2685</v>
      </c>
      <c r="L839" s="5">
        <v>14569</v>
      </c>
    </row>
    <row r="840" spans="1:12" x14ac:dyDescent="0.25">
      <c r="A840" s="3" t="s">
        <v>1057</v>
      </c>
      <c r="B840" s="4" t="s">
        <v>2166</v>
      </c>
      <c r="C840" s="4" t="s">
        <v>25</v>
      </c>
      <c r="D840" s="4" t="s">
        <v>26</v>
      </c>
      <c r="E840" s="5" t="str">
        <f>"9050270"</f>
        <v>9050270</v>
      </c>
      <c r="F840" s="3" t="s">
        <v>2686</v>
      </c>
      <c r="G840" s="5">
        <v>2295041008</v>
      </c>
      <c r="H840" s="4" t="s">
        <v>2687</v>
      </c>
      <c r="I840" s="4" t="s">
        <v>2475</v>
      </c>
      <c r="J840" s="4" t="s">
        <v>2688</v>
      </c>
      <c r="K840" s="4" t="s">
        <v>2689</v>
      </c>
      <c r="L840" s="5">
        <v>19011</v>
      </c>
    </row>
    <row r="841" spans="1:12" x14ac:dyDescent="0.25">
      <c r="A841" s="3" t="s">
        <v>1057</v>
      </c>
      <c r="B841" s="4" t="s">
        <v>2166</v>
      </c>
      <c r="C841" s="4" t="s">
        <v>25</v>
      </c>
      <c r="D841" s="4" t="s">
        <v>26</v>
      </c>
      <c r="E841" s="5" t="str">
        <f>"9050271"</f>
        <v>9050271</v>
      </c>
      <c r="F841" s="3" t="s">
        <v>2690</v>
      </c>
      <c r="G841" s="5">
        <v>2295772201</v>
      </c>
      <c r="H841" s="4" t="s">
        <v>2691</v>
      </c>
      <c r="I841" s="4" t="s">
        <v>2475</v>
      </c>
      <c r="J841" s="4" t="s">
        <v>2692</v>
      </c>
      <c r="K841" s="4" t="s">
        <v>2693</v>
      </c>
      <c r="L841" s="5">
        <v>19014</v>
      </c>
    </row>
    <row r="842" spans="1:12" x14ac:dyDescent="0.25">
      <c r="A842" s="3" t="s">
        <v>1057</v>
      </c>
      <c r="B842" s="4" t="s">
        <v>2166</v>
      </c>
      <c r="C842" s="4" t="s">
        <v>25</v>
      </c>
      <c r="D842" s="4" t="s">
        <v>26</v>
      </c>
      <c r="E842" s="5" t="str">
        <f>"9520646"</f>
        <v>9520646</v>
      </c>
      <c r="F842" s="3" t="s">
        <v>2694</v>
      </c>
      <c r="G842" s="5">
        <v>2106219456</v>
      </c>
      <c r="H842" s="4" t="s">
        <v>2695</v>
      </c>
      <c r="I842" s="4" t="s">
        <v>2452</v>
      </c>
      <c r="J842" s="4" t="s">
        <v>2696</v>
      </c>
      <c r="K842" s="4" t="s">
        <v>2685</v>
      </c>
      <c r="L842" s="5">
        <v>14569</v>
      </c>
    </row>
    <row r="843" spans="1:12" x14ac:dyDescent="0.25">
      <c r="A843" s="3" t="s">
        <v>1057</v>
      </c>
      <c r="B843" s="4" t="s">
        <v>2166</v>
      </c>
      <c r="C843" s="4" t="s">
        <v>25</v>
      </c>
      <c r="D843" s="4" t="s">
        <v>26</v>
      </c>
      <c r="E843" s="5" t="str">
        <f>"9520823"</f>
        <v>9520823</v>
      </c>
      <c r="F843" s="3" t="s">
        <v>2697</v>
      </c>
      <c r="G843" s="5">
        <v>2106211207</v>
      </c>
      <c r="H843" s="4" t="s">
        <v>2698</v>
      </c>
      <c r="I843" s="4" t="s">
        <v>2452</v>
      </c>
      <c r="J843" s="4" t="s">
        <v>2452</v>
      </c>
      <c r="K843" s="4" t="s">
        <v>2699</v>
      </c>
      <c r="L843" s="5">
        <v>14576</v>
      </c>
    </row>
    <row r="844" spans="1:12" x14ac:dyDescent="0.25">
      <c r="A844" s="3" t="s">
        <v>1057</v>
      </c>
      <c r="B844" s="4" t="s">
        <v>2166</v>
      </c>
      <c r="C844" s="4" t="s">
        <v>25</v>
      </c>
      <c r="D844" s="4" t="s">
        <v>26</v>
      </c>
      <c r="E844" s="5" t="str">
        <f>"9051036"</f>
        <v>9051036</v>
      </c>
      <c r="F844" s="3" t="s">
        <v>2700</v>
      </c>
      <c r="G844" s="5">
        <v>2108134484</v>
      </c>
      <c r="H844" s="4" t="s">
        <v>2701</v>
      </c>
      <c r="I844" s="4" t="s">
        <v>2452</v>
      </c>
      <c r="J844" s="4" t="s">
        <v>2702</v>
      </c>
      <c r="K844" s="4" t="s">
        <v>2703</v>
      </c>
      <c r="L844" s="5">
        <v>14572</v>
      </c>
    </row>
    <row r="845" spans="1:12" ht="30" x14ac:dyDescent="0.25">
      <c r="A845" s="3" t="s">
        <v>1057</v>
      </c>
      <c r="B845" s="4" t="s">
        <v>2166</v>
      </c>
      <c r="C845" s="4" t="s">
        <v>14</v>
      </c>
      <c r="D845" s="4" t="s">
        <v>15</v>
      </c>
      <c r="E845" s="5" t="str">
        <f>"9051907"</f>
        <v>9051907</v>
      </c>
      <c r="F845" s="3" t="s">
        <v>2704</v>
      </c>
      <c r="G845" s="5">
        <v>2294078534</v>
      </c>
      <c r="H845" s="4" t="s">
        <v>2705</v>
      </c>
      <c r="I845" s="4" t="s">
        <v>2218</v>
      </c>
      <c r="J845" s="4" t="s">
        <v>2471</v>
      </c>
      <c r="K845" s="4" t="s">
        <v>2706</v>
      </c>
      <c r="L845" s="5">
        <v>19009</v>
      </c>
    </row>
    <row r="846" spans="1:12" x14ac:dyDescent="0.25">
      <c r="A846" s="3" t="s">
        <v>1057</v>
      </c>
      <c r="B846" s="4" t="s">
        <v>2166</v>
      </c>
      <c r="C846" s="4" t="s">
        <v>25</v>
      </c>
      <c r="D846" s="4" t="s">
        <v>26</v>
      </c>
      <c r="E846" s="5" t="str">
        <f>"9050544"</f>
        <v>9050544</v>
      </c>
      <c r="F846" s="3" t="s">
        <v>2707</v>
      </c>
      <c r="G846" s="5">
        <v>2299042140</v>
      </c>
      <c r="H846" s="4" t="s">
        <v>2708</v>
      </c>
      <c r="I846" s="4" t="s">
        <v>2326</v>
      </c>
      <c r="J846" s="4" t="s">
        <v>2327</v>
      </c>
      <c r="K846" s="4" t="s">
        <v>2538</v>
      </c>
      <c r="L846" s="5">
        <v>19001</v>
      </c>
    </row>
    <row r="847" spans="1:12" x14ac:dyDescent="0.25">
      <c r="A847" s="3" t="s">
        <v>1057</v>
      </c>
      <c r="B847" s="4" t="s">
        <v>2166</v>
      </c>
      <c r="C847" s="4" t="s">
        <v>25</v>
      </c>
      <c r="D847" s="4" t="s">
        <v>26</v>
      </c>
      <c r="E847" s="5" t="str">
        <f>"9050279"</f>
        <v>9050279</v>
      </c>
      <c r="F847" s="3" t="s">
        <v>2709</v>
      </c>
      <c r="G847" s="5">
        <v>2295053068</v>
      </c>
      <c r="H847" s="4" t="s">
        <v>2710</v>
      </c>
      <c r="I847" s="4" t="s">
        <v>2475</v>
      </c>
      <c r="J847" s="4" t="s">
        <v>2711</v>
      </c>
      <c r="K847" s="4" t="s">
        <v>2476</v>
      </c>
      <c r="L847" s="5">
        <v>19014</v>
      </c>
    </row>
    <row r="848" spans="1:12" x14ac:dyDescent="0.25">
      <c r="A848" s="3" t="s">
        <v>1057</v>
      </c>
      <c r="B848" s="4" t="s">
        <v>2166</v>
      </c>
      <c r="C848" s="4" t="s">
        <v>14</v>
      </c>
      <c r="D848" s="4" t="s">
        <v>15</v>
      </c>
      <c r="E848" s="5" t="str">
        <f>"9050263"</f>
        <v>9050263</v>
      </c>
      <c r="F848" s="3" t="s">
        <v>2712</v>
      </c>
      <c r="G848" s="5">
        <v>2108140351</v>
      </c>
      <c r="H848" s="4" t="s">
        <v>2713</v>
      </c>
      <c r="I848" s="4" t="s">
        <v>2452</v>
      </c>
      <c r="J848" s="4" t="s">
        <v>2696</v>
      </c>
      <c r="K848" s="4" t="s">
        <v>2714</v>
      </c>
      <c r="L848" s="5">
        <v>14569</v>
      </c>
    </row>
    <row r="849" spans="1:12" x14ac:dyDescent="0.25">
      <c r="A849" s="3" t="s">
        <v>1057</v>
      </c>
      <c r="B849" s="4" t="s">
        <v>2166</v>
      </c>
      <c r="C849" s="4" t="s">
        <v>14</v>
      </c>
      <c r="D849" s="4" t="s">
        <v>15</v>
      </c>
      <c r="E849" s="5" t="str">
        <f>"9050564"</f>
        <v>9050564</v>
      </c>
      <c r="F849" s="3" t="s">
        <v>2715</v>
      </c>
      <c r="G849" s="5">
        <v>2106632303</v>
      </c>
      <c r="H849" s="4" t="s">
        <v>2716</v>
      </c>
      <c r="I849" s="4" t="s">
        <v>2188</v>
      </c>
      <c r="J849" s="4" t="s">
        <v>2717</v>
      </c>
      <c r="K849" s="4" t="s">
        <v>2718</v>
      </c>
      <c r="L849" s="5">
        <v>19004</v>
      </c>
    </row>
    <row r="850" spans="1:12" x14ac:dyDescent="0.25">
      <c r="A850" s="3" t="s">
        <v>1057</v>
      </c>
      <c r="B850" s="4" t="s">
        <v>2166</v>
      </c>
      <c r="C850" s="4" t="s">
        <v>14</v>
      </c>
      <c r="D850" s="4" t="s">
        <v>15</v>
      </c>
      <c r="E850" s="5" t="str">
        <f>"9050275"</f>
        <v>9050275</v>
      </c>
      <c r="F850" s="3" t="s">
        <v>2719</v>
      </c>
      <c r="G850" s="5">
        <v>2108133772</v>
      </c>
      <c r="H850" s="4" t="s">
        <v>2720</v>
      </c>
      <c r="I850" s="4" t="s">
        <v>2452</v>
      </c>
      <c r="J850" s="4" t="s">
        <v>2702</v>
      </c>
      <c r="K850" s="4" t="s">
        <v>2721</v>
      </c>
      <c r="L850" s="5">
        <v>14572</v>
      </c>
    </row>
    <row r="851" spans="1:12" x14ac:dyDescent="0.25">
      <c r="A851" s="3" t="s">
        <v>1057</v>
      </c>
      <c r="B851" s="4" t="s">
        <v>2166</v>
      </c>
      <c r="C851" s="4" t="s">
        <v>25</v>
      </c>
      <c r="D851" s="4" t="s">
        <v>26</v>
      </c>
      <c r="E851" s="5" t="str">
        <f>"9050190"</f>
        <v>9050190</v>
      </c>
      <c r="F851" s="3" t="s">
        <v>2722</v>
      </c>
      <c r="G851" s="5">
        <v>2108954639</v>
      </c>
      <c r="H851" s="4" t="s">
        <v>2723</v>
      </c>
      <c r="I851" s="4" t="s">
        <v>2240</v>
      </c>
      <c r="J851" s="4" t="s">
        <v>2371</v>
      </c>
      <c r="K851" s="4" t="s">
        <v>2724</v>
      </c>
      <c r="L851" s="5">
        <v>16673</v>
      </c>
    </row>
    <row r="852" spans="1:12" x14ac:dyDescent="0.25">
      <c r="A852" s="3" t="s">
        <v>1057</v>
      </c>
      <c r="B852" s="4" t="s">
        <v>2166</v>
      </c>
      <c r="C852" s="4" t="s">
        <v>25</v>
      </c>
      <c r="D852" s="4" t="s">
        <v>26</v>
      </c>
      <c r="E852" s="5" t="str">
        <f>"9051035"</f>
        <v>9051035</v>
      </c>
      <c r="F852" s="3" t="s">
        <v>2725</v>
      </c>
      <c r="G852" s="5">
        <v>2108161811</v>
      </c>
      <c r="H852" s="4" t="s">
        <v>2726</v>
      </c>
      <c r="I852" s="4" t="s">
        <v>2452</v>
      </c>
      <c r="J852" s="4" t="s">
        <v>530</v>
      </c>
      <c r="K852" s="4" t="s">
        <v>2727</v>
      </c>
      <c r="L852" s="5">
        <v>14568</v>
      </c>
    </row>
    <row r="853" spans="1:12" x14ac:dyDescent="0.25">
      <c r="A853" s="3" t="s">
        <v>1057</v>
      </c>
      <c r="B853" s="4" t="s">
        <v>2166</v>
      </c>
      <c r="C853" s="4" t="s">
        <v>25</v>
      </c>
      <c r="D853" s="4" t="s">
        <v>26</v>
      </c>
      <c r="E853" s="5" t="str">
        <f>"9051042"</f>
        <v>9051042</v>
      </c>
      <c r="F853" s="3" t="s">
        <v>2728</v>
      </c>
      <c r="G853" s="5">
        <v>2292305007</v>
      </c>
      <c r="H853" s="4" t="s">
        <v>2729</v>
      </c>
      <c r="I853" s="4" t="s">
        <v>2326</v>
      </c>
      <c r="J853" s="4" t="s">
        <v>2379</v>
      </c>
      <c r="K853" s="4" t="s">
        <v>2504</v>
      </c>
      <c r="L853" s="5">
        <v>19500</v>
      </c>
    </row>
    <row r="854" spans="1:12" x14ac:dyDescent="0.25">
      <c r="A854" s="3" t="s">
        <v>1057</v>
      </c>
      <c r="B854" s="4" t="s">
        <v>2166</v>
      </c>
      <c r="C854" s="4" t="s">
        <v>25</v>
      </c>
      <c r="D854" s="4" t="s">
        <v>26</v>
      </c>
      <c r="E854" s="5" t="str">
        <f>"9051510"</f>
        <v>9051510</v>
      </c>
      <c r="F854" s="3" t="s">
        <v>2730</v>
      </c>
      <c r="G854" s="5">
        <v>2295098460</v>
      </c>
      <c r="H854" s="4" t="s">
        <v>2731</v>
      </c>
      <c r="I854" s="4" t="s">
        <v>2475</v>
      </c>
      <c r="J854" s="4" t="s">
        <v>2732</v>
      </c>
      <c r="K854" s="4" t="s">
        <v>2733</v>
      </c>
      <c r="L854" s="5">
        <v>19011</v>
      </c>
    </row>
    <row r="855" spans="1:12" x14ac:dyDescent="0.25">
      <c r="A855" s="3" t="s">
        <v>1057</v>
      </c>
      <c r="B855" s="4" t="s">
        <v>2166</v>
      </c>
      <c r="C855" s="4" t="s">
        <v>25</v>
      </c>
      <c r="D855" s="4" t="s">
        <v>26</v>
      </c>
      <c r="E855" s="5" t="str">
        <f>"9050286"</f>
        <v>9050286</v>
      </c>
      <c r="F855" s="3" t="s">
        <v>2734</v>
      </c>
      <c r="G855" s="5">
        <v>2295032423</v>
      </c>
      <c r="H855" s="4" t="s">
        <v>2735</v>
      </c>
      <c r="I855" s="4" t="s">
        <v>2475</v>
      </c>
      <c r="J855" s="4" t="s">
        <v>2736</v>
      </c>
      <c r="K855" s="4" t="s">
        <v>2737</v>
      </c>
      <c r="L855" s="5">
        <v>19015</v>
      </c>
    </row>
    <row r="856" spans="1:12" x14ac:dyDescent="0.25">
      <c r="A856" s="3" t="s">
        <v>1057</v>
      </c>
      <c r="B856" s="4" t="s">
        <v>2166</v>
      </c>
      <c r="C856" s="4" t="s">
        <v>25</v>
      </c>
      <c r="D856" s="4" t="s">
        <v>26</v>
      </c>
      <c r="E856" s="5" t="str">
        <f>"9050555"</f>
        <v>9050555</v>
      </c>
      <c r="F856" s="3" t="s">
        <v>2738</v>
      </c>
      <c r="G856" s="5">
        <v>2292060214</v>
      </c>
      <c r="H856" s="4" t="s">
        <v>2739</v>
      </c>
      <c r="I856" s="4" t="s">
        <v>2326</v>
      </c>
      <c r="J856" s="4" t="s">
        <v>2379</v>
      </c>
      <c r="K856" s="4" t="s">
        <v>2504</v>
      </c>
      <c r="L856" s="5">
        <v>19500</v>
      </c>
    </row>
    <row r="857" spans="1:12" x14ac:dyDescent="0.25">
      <c r="A857" s="3" t="s">
        <v>1057</v>
      </c>
      <c r="B857" s="4" t="s">
        <v>2166</v>
      </c>
      <c r="C857" s="4" t="s">
        <v>25</v>
      </c>
      <c r="D857" s="4" t="s">
        <v>26</v>
      </c>
      <c r="E857" s="5" t="str">
        <f>"9050919"</f>
        <v>9050919</v>
      </c>
      <c r="F857" s="3" t="s">
        <v>2740</v>
      </c>
      <c r="G857" s="5">
        <v>2295031883</v>
      </c>
      <c r="H857" s="4" t="s">
        <v>2741</v>
      </c>
      <c r="I857" s="4" t="s">
        <v>2475</v>
      </c>
      <c r="J857" s="4" t="s">
        <v>2742</v>
      </c>
      <c r="K857" s="4" t="s">
        <v>2743</v>
      </c>
      <c r="L857" s="5">
        <v>19015</v>
      </c>
    </row>
    <row r="858" spans="1:12" x14ac:dyDescent="0.25">
      <c r="A858" s="3" t="s">
        <v>1057</v>
      </c>
      <c r="B858" s="4" t="s">
        <v>2166</v>
      </c>
      <c r="C858" s="4" t="s">
        <v>25</v>
      </c>
      <c r="D858" s="4" t="s">
        <v>26</v>
      </c>
      <c r="E858" s="5" t="str">
        <f>"9050289"</f>
        <v>9050289</v>
      </c>
      <c r="F858" s="3" t="s">
        <v>2744</v>
      </c>
      <c r="G858" s="5">
        <v>2295032988</v>
      </c>
      <c r="H858" s="4" t="s">
        <v>2745</v>
      </c>
      <c r="I858" s="4" t="s">
        <v>2475</v>
      </c>
      <c r="J858" s="4" t="s">
        <v>2746</v>
      </c>
      <c r="K858" s="4" t="s">
        <v>2747</v>
      </c>
      <c r="L858" s="5">
        <v>19015</v>
      </c>
    </row>
    <row r="859" spans="1:12" x14ac:dyDescent="0.25">
      <c r="A859" s="3" t="s">
        <v>1057</v>
      </c>
      <c r="B859" s="4" t="s">
        <v>2166</v>
      </c>
      <c r="C859" s="4" t="s">
        <v>25</v>
      </c>
      <c r="D859" s="4" t="s">
        <v>26</v>
      </c>
      <c r="E859" s="5" t="str">
        <f>"9051508"</f>
        <v>9051508</v>
      </c>
      <c r="F859" s="3" t="s">
        <v>2748</v>
      </c>
      <c r="G859" s="5">
        <v>2106219662</v>
      </c>
      <c r="H859" s="4" t="s">
        <v>2749</v>
      </c>
      <c r="I859" s="4" t="s">
        <v>2452</v>
      </c>
      <c r="J859" s="4" t="s">
        <v>2750</v>
      </c>
      <c r="K859" s="4" t="s">
        <v>2751</v>
      </c>
      <c r="L859" s="5">
        <v>14575</v>
      </c>
    </row>
    <row r="860" spans="1:12" x14ac:dyDescent="0.25">
      <c r="A860" s="3" t="s">
        <v>1057</v>
      </c>
      <c r="B860" s="4" t="s">
        <v>2166</v>
      </c>
      <c r="C860" s="4" t="s">
        <v>14</v>
      </c>
      <c r="D860" s="4" t="s">
        <v>15</v>
      </c>
      <c r="E860" s="5" t="str">
        <f>"9051847"</f>
        <v>9051847</v>
      </c>
      <c r="F860" s="3" t="s">
        <v>2752</v>
      </c>
      <c r="G860" s="5">
        <v>2106612479</v>
      </c>
      <c r="H860" s="4" t="s">
        <v>2753</v>
      </c>
      <c r="I860" s="4" t="s">
        <v>2193</v>
      </c>
      <c r="J860" s="4" t="s">
        <v>2283</v>
      </c>
      <c r="K860" s="4" t="s">
        <v>2230</v>
      </c>
      <c r="L860" s="5">
        <v>15344</v>
      </c>
    </row>
    <row r="861" spans="1:12" x14ac:dyDescent="0.25">
      <c r="A861" s="3" t="s">
        <v>1057</v>
      </c>
      <c r="B861" s="4" t="s">
        <v>2166</v>
      </c>
      <c r="C861" s="4" t="s">
        <v>25</v>
      </c>
      <c r="D861" s="4" t="s">
        <v>26</v>
      </c>
      <c r="E861" s="5" t="str">
        <f>"9051899"</f>
        <v>9051899</v>
      </c>
      <c r="F861" s="3" t="s">
        <v>2754</v>
      </c>
      <c r="G861" s="5">
        <v>2291071510</v>
      </c>
      <c r="H861" s="4" t="s">
        <v>2755</v>
      </c>
      <c r="I861" s="4" t="s">
        <v>2304</v>
      </c>
      <c r="J861" s="4" t="s">
        <v>2544</v>
      </c>
      <c r="K861" s="4" t="s">
        <v>2756</v>
      </c>
      <c r="L861" s="5">
        <v>19010</v>
      </c>
    </row>
    <row r="862" spans="1:12" x14ac:dyDescent="0.25">
      <c r="A862" s="3" t="s">
        <v>1057</v>
      </c>
      <c r="B862" s="4" t="s">
        <v>2166</v>
      </c>
      <c r="C862" s="4" t="s">
        <v>14</v>
      </c>
      <c r="D862" s="4" t="s">
        <v>15</v>
      </c>
      <c r="E862" s="5" t="str">
        <f>"9050938"</f>
        <v>9050938</v>
      </c>
      <c r="F862" s="3" t="s">
        <v>2757</v>
      </c>
      <c r="G862" s="5">
        <v>2291053480</v>
      </c>
      <c r="H862" s="4" t="s">
        <v>2758</v>
      </c>
      <c r="I862" s="4" t="s">
        <v>2304</v>
      </c>
      <c r="J862" s="4" t="s">
        <v>2759</v>
      </c>
      <c r="K862" s="4" t="s">
        <v>2760</v>
      </c>
      <c r="L862" s="5">
        <v>19013</v>
      </c>
    </row>
    <row r="863" spans="1:12" x14ac:dyDescent="0.25">
      <c r="A863" s="3" t="s">
        <v>1057</v>
      </c>
      <c r="B863" s="4" t="s">
        <v>2166</v>
      </c>
      <c r="C863" s="4" t="s">
        <v>14</v>
      </c>
      <c r="D863" s="4" t="s">
        <v>15</v>
      </c>
      <c r="E863" s="5" t="str">
        <f>"9050601"</f>
        <v>9050601</v>
      </c>
      <c r="F863" s="3" t="s">
        <v>2761</v>
      </c>
      <c r="G863" s="5">
        <v>2291036283</v>
      </c>
      <c r="H863" s="4" t="s">
        <v>2762</v>
      </c>
      <c r="I863" s="4" t="s">
        <v>2304</v>
      </c>
      <c r="J863" s="4" t="s">
        <v>2763</v>
      </c>
      <c r="K863" s="4" t="s">
        <v>2764</v>
      </c>
      <c r="L863" s="5">
        <v>19013</v>
      </c>
    </row>
    <row r="864" spans="1:12" x14ac:dyDescent="0.25">
      <c r="A864" s="3" t="s">
        <v>1057</v>
      </c>
      <c r="B864" s="4" t="s">
        <v>2166</v>
      </c>
      <c r="C864" s="4" t="s">
        <v>14</v>
      </c>
      <c r="D864" s="4" t="s">
        <v>15</v>
      </c>
      <c r="E864" s="5" t="str">
        <f>"9050928"</f>
        <v>9050928</v>
      </c>
      <c r="F864" s="3" t="s">
        <v>2765</v>
      </c>
      <c r="G864" s="5">
        <v>2108955154</v>
      </c>
      <c r="H864" s="4" t="s">
        <v>2766</v>
      </c>
      <c r="I864" s="4" t="s">
        <v>2240</v>
      </c>
      <c r="J864" s="4" t="s">
        <v>2767</v>
      </c>
      <c r="K864" s="4" t="s">
        <v>2768</v>
      </c>
      <c r="L864" s="5">
        <v>16672</v>
      </c>
    </row>
    <row r="865" spans="1:12" x14ac:dyDescent="0.25">
      <c r="A865" s="3" t="s">
        <v>1057</v>
      </c>
      <c r="B865" s="4" t="s">
        <v>2166</v>
      </c>
      <c r="C865" s="4" t="s">
        <v>14</v>
      </c>
      <c r="D865" s="4" t="s">
        <v>15</v>
      </c>
      <c r="E865" s="5" t="str">
        <f>"9520737"</f>
        <v>9520737</v>
      </c>
      <c r="F865" s="3" t="s">
        <v>2769</v>
      </c>
      <c r="G865" s="5">
        <v>2108970804</v>
      </c>
      <c r="H865" s="4" t="s">
        <v>2770</v>
      </c>
      <c r="I865" s="4" t="s">
        <v>2240</v>
      </c>
      <c r="J865" s="4" t="s">
        <v>2241</v>
      </c>
      <c r="K865" s="4" t="s">
        <v>2771</v>
      </c>
      <c r="L865" s="5">
        <v>16672</v>
      </c>
    </row>
    <row r="866" spans="1:12" x14ac:dyDescent="0.25">
      <c r="A866" s="3" t="s">
        <v>1057</v>
      </c>
      <c r="B866" s="4" t="s">
        <v>2166</v>
      </c>
      <c r="C866" s="4" t="s">
        <v>14</v>
      </c>
      <c r="D866" s="4" t="s">
        <v>15</v>
      </c>
      <c r="E866" s="5" t="str">
        <f>"9520908"</f>
        <v>9520908</v>
      </c>
      <c r="F866" s="3" t="s">
        <v>2772</v>
      </c>
      <c r="G866" s="5">
        <v>2299072949</v>
      </c>
      <c r="H866" s="4" t="s">
        <v>2773</v>
      </c>
      <c r="I866" s="4" t="s">
        <v>2321</v>
      </c>
      <c r="J866" s="4" t="s">
        <v>2507</v>
      </c>
      <c r="K866" s="4" t="s">
        <v>2774</v>
      </c>
      <c r="L866" s="5">
        <v>19023</v>
      </c>
    </row>
    <row r="867" spans="1:12" x14ac:dyDescent="0.25">
      <c r="A867" s="3" t="s">
        <v>1057</v>
      </c>
      <c r="B867" s="4" t="s">
        <v>2166</v>
      </c>
      <c r="C867" s="4" t="s">
        <v>14</v>
      </c>
      <c r="D867" s="4" t="s">
        <v>15</v>
      </c>
      <c r="E867" s="5" t="str">
        <f>"9051858"</f>
        <v>9051858</v>
      </c>
      <c r="F867" s="3" t="s">
        <v>2775</v>
      </c>
      <c r="G867" s="5">
        <v>2299047927</v>
      </c>
      <c r="H867" s="4" t="s">
        <v>2776</v>
      </c>
      <c r="I867" s="4" t="s">
        <v>2304</v>
      </c>
      <c r="J867" s="4" t="s">
        <v>2317</v>
      </c>
      <c r="K867" s="4" t="s">
        <v>2777</v>
      </c>
      <c r="L867" s="5">
        <v>19010</v>
      </c>
    </row>
    <row r="868" spans="1:12" x14ac:dyDescent="0.25">
      <c r="A868" s="3" t="s">
        <v>1057</v>
      </c>
      <c r="B868" s="4" t="s">
        <v>2166</v>
      </c>
      <c r="C868" s="4" t="s">
        <v>14</v>
      </c>
      <c r="D868" s="4" t="s">
        <v>15</v>
      </c>
      <c r="E868" s="5" t="str">
        <f>"9050558"</f>
        <v>9050558</v>
      </c>
      <c r="F868" s="3" t="s">
        <v>2778</v>
      </c>
      <c r="G868" s="5">
        <v>2292025610</v>
      </c>
      <c r="H868" s="4" t="s">
        <v>2779</v>
      </c>
      <c r="I868" s="4" t="s">
        <v>2326</v>
      </c>
      <c r="J868" s="4" t="s">
        <v>2503</v>
      </c>
      <c r="K868" s="4" t="s">
        <v>2780</v>
      </c>
      <c r="L868" s="5">
        <v>19500</v>
      </c>
    </row>
    <row r="869" spans="1:12" x14ac:dyDescent="0.25">
      <c r="A869" s="3" t="s">
        <v>1057</v>
      </c>
      <c r="B869" s="4" t="s">
        <v>2166</v>
      </c>
      <c r="C869" s="4" t="s">
        <v>25</v>
      </c>
      <c r="D869" s="4" t="s">
        <v>26</v>
      </c>
      <c r="E869" s="5" t="str">
        <f>"9050597"</f>
        <v>9050597</v>
      </c>
      <c r="F869" s="3" t="s">
        <v>2781</v>
      </c>
      <c r="G869" s="5">
        <v>2106645240</v>
      </c>
      <c r="H869" s="4" t="s">
        <v>2782</v>
      </c>
      <c r="I869" s="4" t="s">
        <v>2210</v>
      </c>
      <c r="J869" s="4" t="s">
        <v>2210</v>
      </c>
      <c r="K869" s="4" t="s">
        <v>2783</v>
      </c>
      <c r="L869" s="5">
        <v>19002</v>
      </c>
    </row>
    <row r="870" spans="1:12" x14ac:dyDescent="0.25">
      <c r="A870" s="3" t="s">
        <v>1057</v>
      </c>
      <c r="B870" s="4" t="s">
        <v>2166</v>
      </c>
      <c r="C870" s="4" t="s">
        <v>14</v>
      </c>
      <c r="D870" s="4" t="s">
        <v>15</v>
      </c>
      <c r="E870" s="5" t="str">
        <f>"9050937"</f>
        <v>9050937</v>
      </c>
      <c r="F870" s="3" t="s">
        <v>2784</v>
      </c>
      <c r="G870" s="5">
        <v>2299068215</v>
      </c>
      <c r="H870" s="4" t="s">
        <v>2785</v>
      </c>
      <c r="I870" s="4" t="s">
        <v>2326</v>
      </c>
      <c r="J870" s="4" t="s">
        <v>2608</v>
      </c>
      <c r="K870" s="4" t="s">
        <v>2786</v>
      </c>
      <c r="L870" s="5">
        <v>19001</v>
      </c>
    </row>
    <row r="871" spans="1:12" ht="30" x14ac:dyDescent="0.25">
      <c r="A871" s="3" t="s">
        <v>1057</v>
      </c>
      <c r="B871" s="4" t="s">
        <v>2166</v>
      </c>
      <c r="C871" s="4" t="s">
        <v>14</v>
      </c>
      <c r="D871" s="4" t="s">
        <v>15</v>
      </c>
      <c r="E871" s="5" t="str">
        <f>"9050290"</f>
        <v>9050290</v>
      </c>
      <c r="F871" s="3" t="s">
        <v>2787</v>
      </c>
      <c r="G871" s="5">
        <v>2295032232</v>
      </c>
      <c r="H871" s="4" t="s">
        <v>2788</v>
      </c>
      <c r="I871" s="4" t="s">
        <v>2475</v>
      </c>
      <c r="J871" s="4" t="s">
        <v>2789</v>
      </c>
      <c r="K871" s="4" t="s">
        <v>2790</v>
      </c>
      <c r="L871" s="5">
        <v>19015</v>
      </c>
    </row>
    <row r="872" spans="1:12" x14ac:dyDescent="0.25">
      <c r="A872" s="3" t="s">
        <v>1057</v>
      </c>
      <c r="B872" s="4" t="s">
        <v>2166</v>
      </c>
      <c r="C872" s="4" t="s">
        <v>14</v>
      </c>
      <c r="D872" s="4" t="s">
        <v>15</v>
      </c>
      <c r="E872" s="5" t="str">
        <f>"9050291"</f>
        <v>9050291</v>
      </c>
      <c r="F872" s="3" t="s">
        <v>2791</v>
      </c>
      <c r="G872" s="5">
        <v>2295071383</v>
      </c>
      <c r="H872" s="4" t="s">
        <v>2792</v>
      </c>
      <c r="I872" s="4" t="s">
        <v>2475</v>
      </c>
      <c r="J872" s="4" t="s">
        <v>2793</v>
      </c>
      <c r="K872" s="4" t="s">
        <v>2794</v>
      </c>
      <c r="L872" s="5">
        <v>19015</v>
      </c>
    </row>
    <row r="873" spans="1:12" x14ac:dyDescent="0.25">
      <c r="A873" s="3" t="s">
        <v>1057</v>
      </c>
      <c r="B873" s="4" t="s">
        <v>2166</v>
      </c>
      <c r="C873" s="4" t="s">
        <v>14</v>
      </c>
      <c r="D873" s="4" t="s">
        <v>15</v>
      </c>
      <c r="E873" s="5" t="str">
        <f>"9050553"</f>
        <v>9050553</v>
      </c>
      <c r="F873" s="3" t="s">
        <v>2795</v>
      </c>
      <c r="G873" s="5">
        <v>2106623613</v>
      </c>
      <c r="H873" s="4" t="s">
        <v>2796</v>
      </c>
      <c r="I873" s="4" t="s">
        <v>2183</v>
      </c>
      <c r="J873" s="4" t="s">
        <v>2184</v>
      </c>
      <c r="K873" s="4" t="s">
        <v>2348</v>
      </c>
      <c r="L873" s="5">
        <v>19441</v>
      </c>
    </row>
    <row r="874" spans="1:12" x14ac:dyDescent="0.25">
      <c r="A874" s="3" t="s">
        <v>1057</v>
      </c>
      <c r="B874" s="4" t="s">
        <v>2166</v>
      </c>
      <c r="C874" s="4" t="s">
        <v>14</v>
      </c>
      <c r="D874" s="4" t="s">
        <v>15</v>
      </c>
      <c r="E874" s="5" t="str">
        <f>"9520907"</f>
        <v>9520907</v>
      </c>
      <c r="F874" s="3" t="s">
        <v>2797</v>
      </c>
      <c r="G874" s="5">
        <v>2294082297</v>
      </c>
      <c r="H874" s="4" t="s">
        <v>2798</v>
      </c>
      <c r="I874" s="4" t="s">
        <v>2188</v>
      </c>
      <c r="J874" s="4" t="s">
        <v>2271</v>
      </c>
      <c r="K874" s="4" t="s">
        <v>2482</v>
      </c>
      <c r="L874" s="5">
        <v>19016</v>
      </c>
    </row>
    <row r="875" spans="1:12" x14ac:dyDescent="0.25">
      <c r="A875" s="3" t="s">
        <v>1057</v>
      </c>
      <c r="B875" s="4" t="s">
        <v>2166</v>
      </c>
      <c r="C875" s="4" t="s">
        <v>14</v>
      </c>
      <c r="D875" s="4" t="s">
        <v>15</v>
      </c>
      <c r="E875" s="5" t="str">
        <f>"9050269"</f>
        <v>9050269</v>
      </c>
      <c r="F875" s="3" t="s">
        <v>2799</v>
      </c>
      <c r="G875" s="5">
        <v>2295041208</v>
      </c>
      <c r="H875" s="4" t="s">
        <v>2800</v>
      </c>
      <c r="I875" s="4" t="s">
        <v>2475</v>
      </c>
      <c r="J875" s="4" t="s">
        <v>2801</v>
      </c>
      <c r="K875" s="4" t="s">
        <v>2802</v>
      </c>
      <c r="L875" s="5">
        <v>19011</v>
      </c>
    </row>
    <row r="876" spans="1:12" x14ac:dyDescent="0.25">
      <c r="A876" s="3" t="s">
        <v>1057</v>
      </c>
      <c r="B876" s="4" t="s">
        <v>2166</v>
      </c>
      <c r="C876" s="4" t="s">
        <v>14</v>
      </c>
      <c r="D876" s="4" t="s">
        <v>15</v>
      </c>
      <c r="E876" s="5" t="str">
        <f>"9050247"</f>
        <v>9050247</v>
      </c>
      <c r="F876" s="3" t="s">
        <v>2803</v>
      </c>
      <c r="G876" s="5">
        <v>2102469382</v>
      </c>
      <c r="H876" s="4" t="s">
        <v>2804</v>
      </c>
      <c r="I876" s="4" t="s">
        <v>2169</v>
      </c>
      <c r="J876" s="4" t="s">
        <v>2170</v>
      </c>
      <c r="K876" s="4" t="s">
        <v>2805</v>
      </c>
      <c r="L876" s="5">
        <v>13674</v>
      </c>
    </row>
    <row r="877" spans="1:12" x14ac:dyDescent="0.25">
      <c r="A877" s="3" t="s">
        <v>1057</v>
      </c>
      <c r="B877" s="4" t="s">
        <v>2166</v>
      </c>
      <c r="C877" s="4" t="s">
        <v>14</v>
      </c>
      <c r="D877" s="4" t="s">
        <v>15</v>
      </c>
      <c r="E877" s="5" t="str">
        <f>"9051897"</f>
        <v>9051897</v>
      </c>
      <c r="F877" s="3" t="s">
        <v>2806</v>
      </c>
      <c r="G877" s="5">
        <v>2294024702</v>
      </c>
      <c r="H877" s="4" t="s">
        <v>2807</v>
      </c>
      <c r="I877" s="4" t="s">
        <v>2188</v>
      </c>
      <c r="J877" s="4" t="s">
        <v>2604</v>
      </c>
      <c r="K877" s="4" t="s">
        <v>2808</v>
      </c>
      <c r="L877" s="5">
        <v>19016</v>
      </c>
    </row>
    <row r="878" spans="1:12" x14ac:dyDescent="0.25">
      <c r="A878" s="3" t="s">
        <v>1057</v>
      </c>
      <c r="B878" s="4" t="s">
        <v>2166</v>
      </c>
      <c r="C878" s="4" t="s">
        <v>14</v>
      </c>
      <c r="D878" s="4" t="s">
        <v>15</v>
      </c>
      <c r="E878" s="5" t="str">
        <f>"9050251"</f>
        <v>9050251</v>
      </c>
      <c r="F878" s="3" t="s">
        <v>2809</v>
      </c>
      <c r="G878" s="5">
        <v>2102468920</v>
      </c>
      <c r="H878" s="4" t="s">
        <v>2810</v>
      </c>
      <c r="I878" s="4" t="s">
        <v>2169</v>
      </c>
      <c r="J878" s="4" t="s">
        <v>2170</v>
      </c>
      <c r="K878" s="4" t="s">
        <v>2811</v>
      </c>
      <c r="L878" s="5">
        <v>13674</v>
      </c>
    </row>
    <row r="879" spans="1:12" x14ac:dyDescent="0.25">
      <c r="A879" s="3" t="s">
        <v>1057</v>
      </c>
      <c r="B879" s="4" t="s">
        <v>2166</v>
      </c>
      <c r="C879" s="4" t="s">
        <v>14</v>
      </c>
      <c r="D879" s="4" t="s">
        <v>15</v>
      </c>
      <c r="E879" s="5" t="str">
        <f>"9050252"</f>
        <v>9050252</v>
      </c>
      <c r="F879" s="3" t="s">
        <v>2812</v>
      </c>
      <c r="G879" s="5">
        <v>2102468212</v>
      </c>
      <c r="H879" s="4" t="s">
        <v>2813</v>
      </c>
      <c r="I879" s="4" t="s">
        <v>2169</v>
      </c>
      <c r="J879" s="4" t="s">
        <v>2170</v>
      </c>
      <c r="K879" s="4" t="s">
        <v>2656</v>
      </c>
      <c r="L879" s="5">
        <v>13673</v>
      </c>
    </row>
    <row r="880" spans="1:12" x14ac:dyDescent="0.25">
      <c r="A880" s="3" t="s">
        <v>1057</v>
      </c>
      <c r="B880" s="4" t="s">
        <v>2166</v>
      </c>
      <c r="C880" s="4" t="s">
        <v>14</v>
      </c>
      <c r="D880" s="4" t="s">
        <v>15</v>
      </c>
      <c r="E880" s="5" t="str">
        <f>"9050254"</f>
        <v>9050254</v>
      </c>
      <c r="F880" s="3" t="s">
        <v>2814</v>
      </c>
      <c r="G880" s="5">
        <v>2102460797</v>
      </c>
      <c r="H880" s="4" t="s">
        <v>2815</v>
      </c>
      <c r="I880" s="4" t="s">
        <v>2169</v>
      </c>
      <c r="J880" s="4" t="s">
        <v>2816</v>
      </c>
      <c r="K880" s="4" t="s">
        <v>2817</v>
      </c>
      <c r="L880" s="5">
        <v>13675</v>
      </c>
    </row>
    <row r="881" spans="1:12" x14ac:dyDescent="0.25">
      <c r="A881" s="3" t="s">
        <v>1057</v>
      </c>
      <c r="B881" s="4" t="s">
        <v>2166</v>
      </c>
      <c r="C881" s="4" t="s">
        <v>14</v>
      </c>
      <c r="D881" s="4" t="s">
        <v>15</v>
      </c>
      <c r="E881" s="5" t="str">
        <f>"9520461"</f>
        <v>9520461</v>
      </c>
      <c r="F881" s="3" t="s">
        <v>2818</v>
      </c>
      <c r="G881" s="5">
        <v>2108958090</v>
      </c>
      <c r="H881" s="4" t="s">
        <v>2819</v>
      </c>
      <c r="I881" s="4" t="s">
        <v>2240</v>
      </c>
      <c r="J881" s="4" t="s">
        <v>2461</v>
      </c>
      <c r="K881" s="4" t="s">
        <v>2820</v>
      </c>
      <c r="L881" s="5">
        <v>16673</v>
      </c>
    </row>
    <row r="882" spans="1:12" x14ac:dyDescent="0.25">
      <c r="A882" s="3" t="s">
        <v>1057</v>
      </c>
      <c r="B882" s="4" t="s">
        <v>2166</v>
      </c>
      <c r="C882" s="4" t="s">
        <v>14</v>
      </c>
      <c r="D882" s="4" t="s">
        <v>15</v>
      </c>
      <c r="E882" s="5" t="str">
        <f>"9050243"</f>
        <v>9050243</v>
      </c>
      <c r="F882" s="3" t="s">
        <v>2821</v>
      </c>
      <c r="G882" s="5">
        <v>2102312578</v>
      </c>
      <c r="H882" s="4" t="s">
        <v>2822</v>
      </c>
      <c r="I882" s="4" t="s">
        <v>2169</v>
      </c>
      <c r="J882" s="4" t="s">
        <v>2170</v>
      </c>
      <c r="K882" s="4" t="s">
        <v>2823</v>
      </c>
      <c r="L882" s="5">
        <v>13671</v>
      </c>
    </row>
    <row r="883" spans="1:12" x14ac:dyDescent="0.25">
      <c r="A883" s="3" t="s">
        <v>1057</v>
      </c>
      <c r="B883" s="4" t="s">
        <v>2166</v>
      </c>
      <c r="C883" s="4" t="s">
        <v>14</v>
      </c>
      <c r="D883" s="4" t="s">
        <v>15</v>
      </c>
      <c r="E883" s="5" t="str">
        <f>"9050926"</f>
        <v>9050926</v>
      </c>
      <c r="F883" s="3" t="s">
        <v>2824</v>
      </c>
      <c r="G883" s="5">
        <v>2102463104</v>
      </c>
      <c r="H883" s="4" t="s">
        <v>2825</v>
      </c>
      <c r="I883" s="4" t="s">
        <v>2169</v>
      </c>
      <c r="J883" s="4" t="s">
        <v>2170</v>
      </c>
      <c r="K883" s="4" t="s">
        <v>2826</v>
      </c>
      <c r="L883" s="5">
        <v>13672</v>
      </c>
    </row>
    <row r="884" spans="1:12" x14ac:dyDescent="0.25">
      <c r="A884" s="3" t="s">
        <v>1057</v>
      </c>
      <c r="B884" s="4" t="s">
        <v>2166</v>
      </c>
      <c r="C884" s="4" t="s">
        <v>14</v>
      </c>
      <c r="D884" s="4" t="s">
        <v>15</v>
      </c>
      <c r="E884" s="5" t="str">
        <f>"9050934"</f>
        <v>9050934</v>
      </c>
      <c r="F884" s="3" t="s">
        <v>2827</v>
      </c>
      <c r="G884" s="5">
        <v>2102430340</v>
      </c>
      <c r="H884" s="4" t="s">
        <v>2828</v>
      </c>
      <c r="I884" s="4" t="s">
        <v>2169</v>
      </c>
      <c r="J884" s="4" t="s">
        <v>2170</v>
      </c>
      <c r="K884" s="4" t="s">
        <v>2829</v>
      </c>
      <c r="L884" s="5">
        <v>13679</v>
      </c>
    </row>
    <row r="885" spans="1:12" x14ac:dyDescent="0.25">
      <c r="A885" s="3" t="s">
        <v>1057</v>
      </c>
      <c r="B885" s="4" t="s">
        <v>2166</v>
      </c>
      <c r="C885" s="4" t="s">
        <v>14</v>
      </c>
      <c r="D885" s="4" t="s">
        <v>15</v>
      </c>
      <c r="E885" s="5" t="str">
        <f>"9050603"</f>
        <v>9050603</v>
      </c>
      <c r="F885" s="3" t="s">
        <v>2830</v>
      </c>
      <c r="G885" s="5">
        <v>2106659051</v>
      </c>
      <c r="H885" s="4" t="s">
        <v>2831</v>
      </c>
      <c r="I885" s="4" t="s">
        <v>2193</v>
      </c>
      <c r="J885" s="4" t="s">
        <v>2375</v>
      </c>
      <c r="K885" s="4" t="s">
        <v>2832</v>
      </c>
      <c r="L885" s="5">
        <v>15351</v>
      </c>
    </row>
    <row r="886" spans="1:12" x14ac:dyDescent="0.25">
      <c r="A886" s="3" t="s">
        <v>1057</v>
      </c>
      <c r="B886" s="4" t="s">
        <v>2166</v>
      </c>
      <c r="C886" s="4" t="s">
        <v>14</v>
      </c>
      <c r="D886" s="4" t="s">
        <v>15</v>
      </c>
      <c r="E886" s="5" t="str">
        <f>"9051121"</f>
        <v>9051121</v>
      </c>
      <c r="F886" s="3" t="s">
        <v>2833</v>
      </c>
      <c r="G886" s="5">
        <v>2102466298</v>
      </c>
      <c r="H886" s="4" t="s">
        <v>2834</v>
      </c>
      <c r="I886" s="4" t="s">
        <v>2169</v>
      </c>
      <c r="J886" s="4" t="s">
        <v>2170</v>
      </c>
      <c r="K886" s="4" t="s">
        <v>2835</v>
      </c>
      <c r="L886" s="5">
        <v>13678</v>
      </c>
    </row>
    <row r="887" spans="1:12" x14ac:dyDescent="0.25">
      <c r="A887" s="3" t="s">
        <v>1057</v>
      </c>
      <c r="B887" s="4" t="s">
        <v>2166</v>
      </c>
      <c r="C887" s="4" t="s">
        <v>14</v>
      </c>
      <c r="D887" s="4" t="s">
        <v>15</v>
      </c>
      <c r="E887" s="5" t="str">
        <f>"9050571"</f>
        <v>9050571</v>
      </c>
      <c r="F887" s="3" t="s">
        <v>2836</v>
      </c>
      <c r="G887" s="5">
        <v>2108971502</v>
      </c>
      <c r="H887" s="4" t="s">
        <v>2837</v>
      </c>
      <c r="I887" s="4" t="s">
        <v>2240</v>
      </c>
      <c r="J887" s="4" t="s">
        <v>2241</v>
      </c>
      <c r="K887" s="4" t="s">
        <v>2838</v>
      </c>
      <c r="L887" s="5">
        <v>16672</v>
      </c>
    </row>
    <row r="888" spans="1:12" x14ac:dyDescent="0.25">
      <c r="A888" s="3" t="s">
        <v>1057</v>
      </c>
      <c r="B888" s="4" t="s">
        <v>2166</v>
      </c>
      <c r="C888" s="4" t="s">
        <v>14</v>
      </c>
      <c r="D888" s="4" t="s">
        <v>15</v>
      </c>
      <c r="E888" s="5" t="str">
        <f>"9051122"</f>
        <v>9051122</v>
      </c>
      <c r="F888" s="3" t="s">
        <v>2839</v>
      </c>
      <c r="G888" s="5">
        <v>2128098385</v>
      </c>
      <c r="H888" s="4" t="s">
        <v>2840</v>
      </c>
      <c r="I888" s="4" t="s">
        <v>2169</v>
      </c>
      <c r="J888" s="4" t="s">
        <v>2236</v>
      </c>
      <c r="K888" s="4" t="s">
        <v>2841</v>
      </c>
      <c r="L888" s="5">
        <v>13671</v>
      </c>
    </row>
    <row r="889" spans="1:12" x14ac:dyDescent="0.25">
      <c r="A889" s="3" t="s">
        <v>1057</v>
      </c>
      <c r="B889" s="4" t="s">
        <v>2166</v>
      </c>
      <c r="C889" s="4" t="s">
        <v>14</v>
      </c>
      <c r="D889" s="4" t="s">
        <v>15</v>
      </c>
      <c r="E889" s="5" t="str">
        <f>"9051558"</f>
        <v>9051558</v>
      </c>
      <c r="F889" s="3" t="s">
        <v>2842</v>
      </c>
      <c r="G889" s="5">
        <v>2102445474</v>
      </c>
      <c r="H889" s="4" t="s">
        <v>2843</v>
      </c>
      <c r="I889" s="4" t="s">
        <v>2169</v>
      </c>
      <c r="J889" s="4" t="s">
        <v>2170</v>
      </c>
      <c r="K889" s="4" t="s">
        <v>2844</v>
      </c>
      <c r="L889" s="5">
        <v>13671</v>
      </c>
    </row>
    <row r="890" spans="1:12" x14ac:dyDescent="0.25">
      <c r="A890" s="3" t="s">
        <v>1057</v>
      </c>
      <c r="B890" s="4" t="s">
        <v>2166</v>
      </c>
      <c r="C890" s="4" t="s">
        <v>14</v>
      </c>
      <c r="D890" s="4" t="s">
        <v>15</v>
      </c>
      <c r="E890" s="5" t="str">
        <f>"9051611"</f>
        <v>9051611</v>
      </c>
      <c r="F890" s="3" t="s">
        <v>2845</v>
      </c>
      <c r="G890" s="5">
        <v>2102466268</v>
      </c>
      <c r="H890" s="4" t="s">
        <v>2846</v>
      </c>
      <c r="I890" s="4" t="s">
        <v>2169</v>
      </c>
      <c r="J890" s="4" t="s">
        <v>2236</v>
      </c>
      <c r="K890" s="4" t="s">
        <v>2847</v>
      </c>
      <c r="L890" s="5">
        <v>13675</v>
      </c>
    </row>
    <row r="891" spans="1:12" x14ac:dyDescent="0.25">
      <c r="A891" s="3" t="s">
        <v>1057</v>
      </c>
      <c r="B891" s="4" t="s">
        <v>2166</v>
      </c>
      <c r="C891" s="4" t="s">
        <v>14</v>
      </c>
      <c r="D891" s="4" t="s">
        <v>15</v>
      </c>
      <c r="E891" s="5" t="str">
        <f>"9051732"</f>
        <v>9051732</v>
      </c>
      <c r="F891" s="3" t="s">
        <v>2848</v>
      </c>
      <c r="G891" s="5">
        <v>2102431014</v>
      </c>
      <c r="H891" s="4" t="s">
        <v>2849</v>
      </c>
      <c r="I891" s="4" t="s">
        <v>2169</v>
      </c>
      <c r="J891" s="4" t="s">
        <v>2170</v>
      </c>
      <c r="K891" s="4" t="s">
        <v>2850</v>
      </c>
      <c r="L891" s="5">
        <v>13679</v>
      </c>
    </row>
    <row r="892" spans="1:12" x14ac:dyDescent="0.25">
      <c r="A892" s="3" t="s">
        <v>1057</v>
      </c>
      <c r="B892" s="4" t="s">
        <v>2166</v>
      </c>
      <c r="C892" s="4" t="s">
        <v>14</v>
      </c>
      <c r="D892" s="4" t="s">
        <v>15</v>
      </c>
      <c r="E892" s="5" t="str">
        <f>"9051832"</f>
        <v>9051832</v>
      </c>
      <c r="F892" s="3" t="s">
        <v>2851</v>
      </c>
      <c r="G892" s="5">
        <v>2102405225</v>
      </c>
      <c r="H892" s="4" t="s">
        <v>2852</v>
      </c>
      <c r="I892" s="4" t="s">
        <v>2169</v>
      </c>
      <c r="J892" s="4" t="s">
        <v>2170</v>
      </c>
      <c r="K892" s="4" t="s">
        <v>1733</v>
      </c>
      <c r="L892" s="5">
        <v>13672</v>
      </c>
    </row>
    <row r="893" spans="1:12" x14ac:dyDescent="0.25">
      <c r="A893" s="3" t="s">
        <v>1057</v>
      </c>
      <c r="B893" s="4" t="s">
        <v>2166</v>
      </c>
      <c r="C893" s="4" t="s">
        <v>14</v>
      </c>
      <c r="D893" s="4" t="s">
        <v>15</v>
      </c>
      <c r="E893" s="5" t="str">
        <f>"9051856"</f>
        <v>9051856</v>
      </c>
      <c r="F893" s="3" t="s">
        <v>2853</v>
      </c>
      <c r="G893" s="5">
        <v>2102403770</v>
      </c>
      <c r="H893" s="4" t="s">
        <v>2854</v>
      </c>
      <c r="I893" s="4" t="s">
        <v>2169</v>
      </c>
      <c r="J893" s="4" t="s">
        <v>2170</v>
      </c>
      <c r="K893" s="4" t="s">
        <v>2855</v>
      </c>
      <c r="L893" s="5">
        <v>13672</v>
      </c>
    </row>
    <row r="894" spans="1:12" x14ac:dyDescent="0.25">
      <c r="A894" s="3" t="s">
        <v>1057</v>
      </c>
      <c r="B894" s="4" t="s">
        <v>2166</v>
      </c>
      <c r="C894" s="4" t="s">
        <v>14</v>
      </c>
      <c r="D894" s="4" t="s">
        <v>15</v>
      </c>
      <c r="E894" s="5" t="str">
        <f>"9521333"</f>
        <v>9521333</v>
      </c>
      <c r="F894" s="3" t="s">
        <v>2856</v>
      </c>
      <c r="G894" s="5">
        <v>2102448843</v>
      </c>
      <c r="H894" s="4" t="s">
        <v>2857</v>
      </c>
      <c r="I894" s="4" t="s">
        <v>2169</v>
      </c>
      <c r="J894" s="4" t="s">
        <v>2170</v>
      </c>
      <c r="K894" s="4" t="s">
        <v>2858</v>
      </c>
      <c r="L894" s="5">
        <v>13672</v>
      </c>
    </row>
    <row r="895" spans="1:12" x14ac:dyDescent="0.25">
      <c r="A895" s="3" t="s">
        <v>1057</v>
      </c>
      <c r="B895" s="4" t="s">
        <v>2166</v>
      </c>
      <c r="C895" s="4" t="s">
        <v>14</v>
      </c>
      <c r="D895" s="4" t="s">
        <v>15</v>
      </c>
      <c r="E895" s="5" t="str">
        <f>"9051867"</f>
        <v>9051867</v>
      </c>
      <c r="F895" s="3" t="s">
        <v>2859</v>
      </c>
      <c r="G895" s="5">
        <v>2102403719</v>
      </c>
      <c r="H895" s="4" t="s">
        <v>2860</v>
      </c>
      <c r="I895" s="4" t="s">
        <v>2169</v>
      </c>
      <c r="J895" s="4" t="s">
        <v>2236</v>
      </c>
      <c r="K895" s="4" t="s">
        <v>2861</v>
      </c>
      <c r="L895" s="5">
        <v>13675</v>
      </c>
    </row>
    <row r="896" spans="1:12" x14ac:dyDescent="0.25">
      <c r="A896" s="3" t="s">
        <v>1057</v>
      </c>
      <c r="B896" s="4" t="s">
        <v>2166</v>
      </c>
      <c r="C896" s="4" t="s">
        <v>25</v>
      </c>
      <c r="D896" s="4" t="s">
        <v>26</v>
      </c>
      <c r="E896" s="5" t="str">
        <f>"9051741"</f>
        <v>9051741</v>
      </c>
      <c r="F896" s="3" t="s">
        <v>2862</v>
      </c>
      <c r="G896" s="5">
        <v>2294046993</v>
      </c>
      <c r="H896" s="4" t="s">
        <v>2863</v>
      </c>
      <c r="I896" s="4" t="s">
        <v>2188</v>
      </c>
      <c r="J896" s="4" t="s">
        <v>2189</v>
      </c>
      <c r="K896" s="4" t="s">
        <v>2864</v>
      </c>
      <c r="L896" s="5">
        <v>19016</v>
      </c>
    </row>
    <row r="897" spans="1:12" x14ac:dyDescent="0.25">
      <c r="A897" s="3" t="s">
        <v>1057</v>
      </c>
      <c r="B897" s="4" t="s">
        <v>2166</v>
      </c>
      <c r="C897" s="4" t="s">
        <v>25</v>
      </c>
      <c r="D897" s="4" t="s">
        <v>26</v>
      </c>
      <c r="E897" s="5" t="str">
        <f>"9520815"</f>
        <v>9520815</v>
      </c>
      <c r="F897" s="3" t="s">
        <v>2865</v>
      </c>
      <c r="G897" s="5">
        <v>2294046402</v>
      </c>
      <c r="H897" s="4" t="s">
        <v>2866</v>
      </c>
      <c r="I897" s="4" t="s">
        <v>2188</v>
      </c>
      <c r="J897" s="4" t="s">
        <v>2189</v>
      </c>
      <c r="K897" s="4" t="s">
        <v>2867</v>
      </c>
      <c r="L897" s="5">
        <v>19016</v>
      </c>
    </row>
    <row r="898" spans="1:12" x14ac:dyDescent="0.25">
      <c r="A898" s="3" t="s">
        <v>1057</v>
      </c>
      <c r="B898" s="4" t="s">
        <v>2166</v>
      </c>
      <c r="C898" s="4" t="s">
        <v>14</v>
      </c>
      <c r="D898" s="4" t="s">
        <v>15</v>
      </c>
      <c r="E898" s="5" t="str">
        <f>"9520738"</f>
        <v>9520738</v>
      </c>
      <c r="F898" s="3" t="s">
        <v>2868</v>
      </c>
      <c r="G898" s="5">
        <v>2102445533</v>
      </c>
      <c r="H898" s="4" t="s">
        <v>2869</v>
      </c>
      <c r="I898" s="4" t="s">
        <v>2169</v>
      </c>
      <c r="J898" s="4" t="s">
        <v>2870</v>
      </c>
      <c r="K898" s="4" t="s">
        <v>2871</v>
      </c>
      <c r="L898" s="5">
        <v>13675</v>
      </c>
    </row>
    <row r="899" spans="1:12" x14ac:dyDescent="0.25">
      <c r="A899" s="3" t="s">
        <v>1057</v>
      </c>
      <c r="B899" s="4" t="s">
        <v>2166</v>
      </c>
      <c r="C899" s="4" t="s">
        <v>14</v>
      </c>
      <c r="D899" s="4" t="s">
        <v>15</v>
      </c>
      <c r="E899" s="5" t="str">
        <f>"9520832"</f>
        <v>9520832</v>
      </c>
      <c r="F899" s="3" t="s">
        <v>2872</v>
      </c>
      <c r="G899" s="5">
        <v>2128098035</v>
      </c>
      <c r="H899" s="4" t="s">
        <v>2873</v>
      </c>
      <c r="I899" s="4" t="s">
        <v>2169</v>
      </c>
      <c r="J899" s="4" t="s">
        <v>2279</v>
      </c>
      <c r="K899" s="4" t="s">
        <v>2681</v>
      </c>
      <c r="L899" s="5">
        <v>13676</v>
      </c>
    </row>
    <row r="900" spans="1:12" x14ac:dyDescent="0.25">
      <c r="A900" s="3" t="s">
        <v>1057</v>
      </c>
      <c r="B900" s="4" t="s">
        <v>2166</v>
      </c>
      <c r="C900" s="4" t="s">
        <v>14</v>
      </c>
      <c r="D900" s="4" t="s">
        <v>15</v>
      </c>
      <c r="E900" s="5" t="str">
        <f>"9051559"</f>
        <v>9051559</v>
      </c>
      <c r="F900" s="3" t="s">
        <v>2874</v>
      </c>
      <c r="G900" s="5">
        <v>2102440709</v>
      </c>
      <c r="H900" s="4" t="s">
        <v>2875</v>
      </c>
      <c r="I900" s="4" t="s">
        <v>2169</v>
      </c>
      <c r="J900" s="4" t="s">
        <v>2170</v>
      </c>
      <c r="K900" s="4" t="s">
        <v>2876</v>
      </c>
      <c r="L900" s="5">
        <v>13674</v>
      </c>
    </row>
    <row r="901" spans="1:12" x14ac:dyDescent="0.25">
      <c r="A901" s="3" t="s">
        <v>1057</v>
      </c>
      <c r="B901" s="4" t="s">
        <v>2166</v>
      </c>
      <c r="C901" s="4" t="s">
        <v>14</v>
      </c>
      <c r="D901" s="4" t="s">
        <v>15</v>
      </c>
      <c r="E901" s="5" t="str">
        <f>"9050261"</f>
        <v>9050261</v>
      </c>
      <c r="F901" s="3" t="s">
        <v>2877</v>
      </c>
      <c r="G901" s="5">
        <v>2108140052</v>
      </c>
      <c r="H901" s="4" t="s">
        <v>2878</v>
      </c>
      <c r="I901" s="4" t="s">
        <v>2452</v>
      </c>
      <c r="J901" s="4" t="s">
        <v>2879</v>
      </c>
      <c r="K901" s="4" t="s">
        <v>2880</v>
      </c>
      <c r="L901" s="5">
        <v>14565</v>
      </c>
    </row>
    <row r="902" spans="1:12" x14ac:dyDescent="0.25">
      <c r="A902" s="3" t="s">
        <v>1057</v>
      </c>
      <c r="B902" s="4" t="s">
        <v>2166</v>
      </c>
      <c r="C902" s="4" t="s">
        <v>14</v>
      </c>
      <c r="D902" s="4" t="s">
        <v>15</v>
      </c>
      <c r="E902" s="5" t="str">
        <f>"9051609"</f>
        <v>9051609</v>
      </c>
      <c r="F902" s="3" t="s">
        <v>2881</v>
      </c>
      <c r="G902" s="5">
        <v>2108140228</v>
      </c>
      <c r="H902" s="4" t="s">
        <v>2882</v>
      </c>
      <c r="I902" s="4" t="s">
        <v>2452</v>
      </c>
      <c r="J902" s="4" t="s">
        <v>2883</v>
      </c>
      <c r="K902" s="4" t="s">
        <v>2884</v>
      </c>
      <c r="L902" s="5">
        <v>14565</v>
      </c>
    </row>
    <row r="903" spans="1:12" x14ac:dyDescent="0.25">
      <c r="A903" s="3" t="s">
        <v>1057</v>
      </c>
      <c r="B903" s="4" t="s">
        <v>2166</v>
      </c>
      <c r="C903" s="4" t="s">
        <v>25</v>
      </c>
      <c r="D903" s="4" t="s">
        <v>26</v>
      </c>
      <c r="E903" s="5" t="str">
        <f>"9520822"</f>
        <v>9520822</v>
      </c>
      <c r="F903" s="3" t="s">
        <v>2885</v>
      </c>
      <c r="G903" s="5">
        <v>2106614104</v>
      </c>
      <c r="H903" s="4" t="s">
        <v>2886</v>
      </c>
      <c r="I903" s="4" t="s">
        <v>2193</v>
      </c>
      <c r="J903" s="4" t="s">
        <v>2194</v>
      </c>
      <c r="K903" s="4" t="s">
        <v>2887</v>
      </c>
      <c r="L903" s="5">
        <v>15344</v>
      </c>
    </row>
    <row r="904" spans="1:12" x14ac:dyDescent="0.25">
      <c r="A904" s="3" t="s">
        <v>1057</v>
      </c>
      <c r="B904" s="4" t="s">
        <v>2166</v>
      </c>
      <c r="C904" s="4" t="s">
        <v>14</v>
      </c>
      <c r="D904" s="4" t="s">
        <v>15</v>
      </c>
      <c r="E904" s="5" t="str">
        <f>"9050272"</f>
        <v>9050272</v>
      </c>
      <c r="F904" s="3" t="s">
        <v>2888</v>
      </c>
      <c r="G904" s="5">
        <v>2295029023</v>
      </c>
      <c r="H904" s="4" t="s">
        <v>2889</v>
      </c>
      <c r="I904" s="4" t="s">
        <v>2475</v>
      </c>
      <c r="J904" s="4" t="s">
        <v>2890</v>
      </c>
      <c r="K904" s="4" t="s">
        <v>2891</v>
      </c>
      <c r="L904" s="5">
        <v>19014</v>
      </c>
    </row>
    <row r="905" spans="1:12" x14ac:dyDescent="0.25">
      <c r="A905" s="3" t="s">
        <v>1057</v>
      </c>
      <c r="B905" s="4" t="s">
        <v>2166</v>
      </c>
      <c r="C905" s="4" t="s">
        <v>14</v>
      </c>
      <c r="D905" s="4" t="s">
        <v>15</v>
      </c>
      <c r="E905" s="5" t="str">
        <f>"9050274"</f>
        <v>9050274</v>
      </c>
      <c r="F905" s="3" t="s">
        <v>2892</v>
      </c>
      <c r="G905" s="5">
        <v>2295097247</v>
      </c>
      <c r="H905" s="4" t="s">
        <v>2893</v>
      </c>
      <c r="I905" s="4" t="s">
        <v>2299</v>
      </c>
      <c r="J905" s="4" t="s">
        <v>2894</v>
      </c>
      <c r="K905" s="4" t="s">
        <v>2895</v>
      </c>
      <c r="L905" s="5">
        <v>19014</v>
      </c>
    </row>
    <row r="906" spans="1:12" x14ac:dyDescent="0.25">
      <c r="A906" s="3" t="s">
        <v>1057</v>
      </c>
      <c r="B906" s="4" t="s">
        <v>2166</v>
      </c>
      <c r="C906" s="4" t="s">
        <v>14</v>
      </c>
      <c r="D906" s="4" t="s">
        <v>15</v>
      </c>
      <c r="E906" s="5" t="str">
        <f>"9520831"</f>
        <v>9520831</v>
      </c>
      <c r="F906" s="3" t="s">
        <v>2896</v>
      </c>
      <c r="G906" s="5">
        <v>2108152266</v>
      </c>
      <c r="H906" s="4" t="s">
        <v>2897</v>
      </c>
      <c r="I906" s="4" t="s">
        <v>2452</v>
      </c>
      <c r="J906" s="4" t="s">
        <v>2898</v>
      </c>
      <c r="K906" s="4" t="s">
        <v>2899</v>
      </c>
      <c r="L906" s="5">
        <v>14576</v>
      </c>
    </row>
    <row r="907" spans="1:12" x14ac:dyDescent="0.25">
      <c r="A907" s="3" t="s">
        <v>1057</v>
      </c>
      <c r="B907" s="4" t="s">
        <v>2166</v>
      </c>
      <c r="C907" s="4" t="s">
        <v>14</v>
      </c>
      <c r="D907" s="4" t="s">
        <v>15</v>
      </c>
      <c r="E907" s="5" t="str">
        <f>"9050278"</f>
        <v>9050278</v>
      </c>
      <c r="F907" s="3" t="s">
        <v>2900</v>
      </c>
      <c r="G907" s="5">
        <v>2295062240</v>
      </c>
      <c r="H907" s="4" t="s">
        <v>2901</v>
      </c>
      <c r="I907" s="4" t="s">
        <v>2475</v>
      </c>
      <c r="J907" s="4" t="s">
        <v>2902</v>
      </c>
      <c r="K907" s="4" t="s">
        <v>2903</v>
      </c>
      <c r="L907" s="5">
        <v>19014</v>
      </c>
    </row>
    <row r="908" spans="1:12" x14ac:dyDescent="0.25">
      <c r="A908" s="3" t="s">
        <v>1057</v>
      </c>
      <c r="B908" s="4" t="s">
        <v>2166</v>
      </c>
      <c r="C908" s="4" t="s">
        <v>14</v>
      </c>
      <c r="D908" s="4" t="s">
        <v>15</v>
      </c>
      <c r="E908" s="5" t="str">
        <f>"9050281"</f>
        <v>9050281</v>
      </c>
      <c r="F908" s="3" t="s">
        <v>2904</v>
      </c>
      <c r="G908" s="5">
        <v>2108161259</v>
      </c>
      <c r="H908" s="4" t="s">
        <v>2905</v>
      </c>
      <c r="I908" s="4" t="s">
        <v>2452</v>
      </c>
      <c r="J908" s="4" t="s">
        <v>530</v>
      </c>
      <c r="K908" s="4" t="s">
        <v>2906</v>
      </c>
      <c r="L908" s="5">
        <v>14568</v>
      </c>
    </row>
    <row r="909" spans="1:12" x14ac:dyDescent="0.25">
      <c r="A909" s="3" t="s">
        <v>1057</v>
      </c>
      <c r="B909" s="4" t="s">
        <v>2166</v>
      </c>
      <c r="C909" s="4" t="s">
        <v>14</v>
      </c>
      <c r="D909" s="4" t="s">
        <v>15</v>
      </c>
      <c r="E909" s="5" t="str">
        <f>"9521011"</f>
        <v>9521011</v>
      </c>
      <c r="F909" s="3" t="s">
        <v>2907</v>
      </c>
      <c r="G909" s="5">
        <v>2106220984</v>
      </c>
      <c r="H909" s="4" t="s">
        <v>2908</v>
      </c>
      <c r="I909" s="4" t="s">
        <v>2452</v>
      </c>
      <c r="J909" s="4" t="s">
        <v>530</v>
      </c>
      <c r="K909" s="4" t="s">
        <v>2909</v>
      </c>
      <c r="L909" s="5">
        <v>14568</v>
      </c>
    </row>
    <row r="910" spans="1:12" x14ac:dyDescent="0.25">
      <c r="A910" s="3" t="s">
        <v>1057</v>
      </c>
      <c r="B910" s="4" t="s">
        <v>2166</v>
      </c>
      <c r="C910" s="4" t="s">
        <v>14</v>
      </c>
      <c r="D910" s="4" t="s">
        <v>15</v>
      </c>
      <c r="E910" s="5" t="str">
        <f>"9050285"</f>
        <v>9050285</v>
      </c>
      <c r="F910" s="3" t="s">
        <v>2910</v>
      </c>
      <c r="G910" s="5">
        <v>2295032461</v>
      </c>
      <c r="H910" s="4" t="s">
        <v>2911</v>
      </c>
      <c r="I910" s="4" t="s">
        <v>2475</v>
      </c>
      <c r="J910" s="4" t="s">
        <v>2737</v>
      </c>
      <c r="K910" s="4" t="s">
        <v>2737</v>
      </c>
      <c r="L910" s="5">
        <v>19015</v>
      </c>
    </row>
    <row r="911" spans="1:12" x14ac:dyDescent="0.25">
      <c r="A911" s="3" t="s">
        <v>1057</v>
      </c>
      <c r="B911" s="4" t="s">
        <v>2166</v>
      </c>
      <c r="C911" s="4" t="s">
        <v>14</v>
      </c>
      <c r="D911" s="4" t="s">
        <v>15</v>
      </c>
      <c r="E911" s="5" t="str">
        <f>"9050294"</f>
        <v>9050294</v>
      </c>
      <c r="F911" s="3" t="s">
        <v>2912</v>
      </c>
      <c r="G911" s="5">
        <v>2106218038</v>
      </c>
      <c r="H911" s="4" t="s">
        <v>2913</v>
      </c>
      <c r="I911" s="4" t="s">
        <v>2452</v>
      </c>
      <c r="J911" s="4" t="s">
        <v>2914</v>
      </c>
      <c r="K911" s="4" t="s">
        <v>2915</v>
      </c>
      <c r="L911" s="5">
        <v>14575</v>
      </c>
    </row>
    <row r="912" spans="1:12" x14ac:dyDescent="0.25">
      <c r="A912" s="3" t="s">
        <v>1057</v>
      </c>
      <c r="B912" s="4" t="s">
        <v>2166</v>
      </c>
      <c r="C912" s="4" t="s">
        <v>14</v>
      </c>
      <c r="D912" s="4" t="s">
        <v>15</v>
      </c>
      <c r="E912" s="5" t="str">
        <f>"9050288"</f>
        <v>9050288</v>
      </c>
      <c r="F912" s="3" t="s">
        <v>2916</v>
      </c>
      <c r="G912" s="5">
        <v>2295052333</v>
      </c>
      <c r="H912" s="4" t="s">
        <v>2917</v>
      </c>
      <c r="I912" s="4" t="s">
        <v>2475</v>
      </c>
      <c r="J912" s="4" t="s">
        <v>2918</v>
      </c>
      <c r="K912" s="4" t="s">
        <v>2919</v>
      </c>
      <c r="L912" s="5">
        <v>19014</v>
      </c>
    </row>
    <row r="913" spans="1:12" x14ac:dyDescent="0.25">
      <c r="A913" s="3" t="s">
        <v>1057</v>
      </c>
      <c r="B913" s="4" t="s">
        <v>2166</v>
      </c>
      <c r="C913" s="4" t="s">
        <v>14</v>
      </c>
      <c r="D913" s="4" t="s">
        <v>15</v>
      </c>
      <c r="E913" s="5" t="str">
        <f>"9051120"</f>
        <v>9051120</v>
      </c>
      <c r="F913" s="3" t="s">
        <v>2920</v>
      </c>
      <c r="G913" s="5">
        <v>2102443370</v>
      </c>
      <c r="H913" s="4" t="s">
        <v>2921</v>
      </c>
      <c r="I913" s="4" t="s">
        <v>2169</v>
      </c>
      <c r="J913" s="4" t="s">
        <v>2236</v>
      </c>
      <c r="K913" s="4" t="s">
        <v>2656</v>
      </c>
      <c r="L913" s="5">
        <v>13673</v>
      </c>
    </row>
    <row r="914" spans="1:12" x14ac:dyDescent="0.25">
      <c r="A914" s="3" t="s">
        <v>1057</v>
      </c>
      <c r="B914" s="4" t="s">
        <v>2166</v>
      </c>
      <c r="C914" s="4" t="s">
        <v>25</v>
      </c>
      <c r="D914" s="4" t="s">
        <v>26</v>
      </c>
      <c r="E914" s="5" t="str">
        <f>"9050607"</f>
        <v>9050607</v>
      </c>
      <c r="F914" s="3" t="s">
        <v>2922</v>
      </c>
      <c r="G914" s="5">
        <v>2294023423</v>
      </c>
      <c r="H914" s="4" t="s">
        <v>2923</v>
      </c>
      <c r="I914" s="4" t="s">
        <v>2218</v>
      </c>
      <c r="J914" s="4" t="s">
        <v>2219</v>
      </c>
      <c r="K914" s="4" t="s">
        <v>2924</v>
      </c>
      <c r="L914" s="5">
        <v>19009</v>
      </c>
    </row>
    <row r="915" spans="1:12" x14ac:dyDescent="0.25">
      <c r="A915" s="3" t="s">
        <v>1057</v>
      </c>
      <c r="B915" s="4" t="s">
        <v>2166</v>
      </c>
      <c r="C915" s="4" t="s">
        <v>25</v>
      </c>
      <c r="D915" s="4" t="s">
        <v>26</v>
      </c>
      <c r="E915" s="5" t="str">
        <f>"9050583"</f>
        <v>9050583</v>
      </c>
      <c r="F915" s="3" t="s">
        <v>2925</v>
      </c>
      <c r="G915" s="5">
        <v>2299022241</v>
      </c>
      <c r="H915" s="4" t="s">
        <v>2926</v>
      </c>
      <c r="I915" s="4" t="s">
        <v>2321</v>
      </c>
      <c r="J915" s="4" t="s">
        <v>2495</v>
      </c>
      <c r="K915" s="4" t="s">
        <v>2323</v>
      </c>
      <c r="L915" s="5">
        <v>19003</v>
      </c>
    </row>
    <row r="916" spans="1:12" x14ac:dyDescent="0.25">
      <c r="A916" s="3" t="s">
        <v>1057</v>
      </c>
      <c r="B916" s="4" t="s">
        <v>2166</v>
      </c>
      <c r="C916" s="4" t="s">
        <v>25</v>
      </c>
      <c r="D916" s="4" t="s">
        <v>26</v>
      </c>
      <c r="E916" s="5" t="str">
        <f>"9520817"</f>
        <v>9520817</v>
      </c>
      <c r="F916" s="3" t="s">
        <v>2927</v>
      </c>
      <c r="G916" s="5">
        <v>2294306717</v>
      </c>
      <c r="H916" s="4" t="s">
        <v>2928</v>
      </c>
      <c r="I916" s="4" t="s">
        <v>2218</v>
      </c>
      <c r="J916" s="4" t="s">
        <v>2219</v>
      </c>
      <c r="K916" s="4" t="s">
        <v>2929</v>
      </c>
      <c r="L916" s="5">
        <v>19009</v>
      </c>
    </row>
    <row r="917" spans="1:12" x14ac:dyDescent="0.25">
      <c r="A917" s="3" t="s">
        <v>1057</v>
      </c>
      <c r="B917" s="4" t="s">
        <v>2166</v>
      </c>
      <c r="C917" s="4" t="s">
        <v>25</v>
      </c>
      <c r="D917" s="4" t="s">
        <v>26</v>
      </c>
      <c r="E917" s="5" t="str">
        <f>"9050796"</f>
        <v>9050796</v>
      </c>
      <c r="F917" s="3" t="s">
        <v>2930</v>
      </c>
      <c r="G917" s="5">
        <v>2292060133</v>
      </c>
      <c r="H917" s="4" t="s">
        <v>2931</v>
      </c>
      <c r="I917" s="4" t="s">
        <v>2326</v>
      </c>
      <c r="J917" s="4" t="s">
        <v>2379</v>
      </c>
      <c r="K917" s="4" t="s">
        <v>2932</v>
      </c>
      <c r="L917" s="5">
        <v>19500</v>
      </c>
    </row>
    <row r="918" spans="1:12" x14ac:dyDescent="0.25">
      <c r="A918" s="3" t="s">
        <v>1057</v>
      </c>
      <c r="B918" s="4" t="s">
        <v>2166</v>
      </c>
      <c r="C918" s="4" t="s">
        <v>14</v>
      </c>
      <c r="D918" s="4" t="s">
        <v>15</v>
      </c>
      <c r="E918" s="5" t="str">
        <f>"9051857"</f>
        <v>9051857</v>
      </c>
      <c r="F918" s="3" t="s">
        <v>2933</v>
      </c>
      <c r="G918" s="5">
        <v>2102402220</v>
      </c>
      <c r="H918" s="4" t="s">
        <v>2934</v>
      </c>
      <c r="I918" s="4" t="s">
        <v>2169</v>
      </c>
      <c r="J918" s="4" t="s">
        <v>2170</v>
      </c>
      <c r="K918" s="4" t="s">
        <v>2935</v>
      </c>
      <c r="L918" s="5">
        <v>13678</v>
      </c>
    </row>
    <row r="919" spans="1:12" x14ac:dyDescent="0.25">
      <c r="A919" s="3" t="s">
        <v>1057</v>
      </c>
      <c r="B919" s="4" t="s">
        <v>2166</v>
      </c>
      <c r="C919" s="4" t="s">
        <v>25</v>
      </c>
      <c r="D919" s="4" t="s">
        <v>26</v>
      </c>
      <c r="E919" s="5" t="str">
        <f>"9050798"</f>
        <v>9050798</v>
      </c>
      <c r="F919" s="3" t="s">
        <v>2936</v>
      </c>
      <c r="G919" s="5">
        <v>2294076100</v>
      </c>
      <c r="H919" s="4" t="s">
        <v>2937</v>
      </c>
      <c r="I919" s="4" t="s">
        <v>2218</v>
      </c>
      <c r="J919" s="4" t="s">
        <v>2219</v>
      </c>
      <c r="K919" s="4" t="s">
        <v>2938</v>
      </c>
      <c r="L919" s="5">
        <v>19009</v>
      </c>
    </row>
    <row r="920" spans="1:12" x14ac:dyDescent="0.25">
      <c r="A920" s="3" t="s">
        <v>1057</v>
      </c>
      <c r="B920" s="4" t="s">
        <v>2166</v>
      </c>
      <c r="C920" s="4" t="s">
        <v>25</v>
      </c>
      <c r="D920" s="4" t="s">
        <v>26</v>
      </c>
      <c r="E920" s="5" t="str">
        <f>"9520648"</f>
        <v>9520648</v>
      </c>
      <c r="F920" s="3" t="s">
        <v>2939</v>
      </c>
      <c r="G920" s="5">
        <v>2108954025</v>
      </c>
      <c r="H920" s="4" t="s">
        <v>2940</v>
      </c>
      <c r="I920" s="4" t="s">
        <v>2240</v>
      </c>
      <c r="J920" s="4" t="s">
        <v>2371</v>
      </c>
      <c r="K920" s="4" t="s">
        <v>2941</v>
      </c>
      <c r="L920" s="5">
        <v>16673</v>
      </c>
    </row>
    <row r="921" spans="1:12" x14ac:dyDescent="0.25">
      <c r="A921" s="3" t="s">
        <v>1057</v>
      </c>
      <c r="B921" s="4" t="s">
        <v>2166</v>
      </c>
      <c r="C921" s="4" t="s">
        <v>25</v>
      </c>
      <c r="D921" s="4" t="s">
        <v>26</v>
      </c>
      <c r="E921" s="5" t="str">
        <f>"9050581"</f>
        <v>9050581</v>
      </c>
      <c r="F921" s="3" t="s">
        <v>2942</v>
      </c>
      <c r="G921" s="5">
        <v>2294066477</v>
      </c>
      <c r="H921" s="4" t="s">
        <v>2943</v>
      </c>
      <c r="I921" s="4" t="s">
        <v>2299</v>
      </c>
      <c r="J921" s="4" t="s">
        <v>2944</v>
      </c>
      <c r="K921" s="4" t="s">
        <v>2945</v>
      </c>
      <c r="L921" s="5">
        <v>19007</v>
      </c>
    </row>
    <row r="922" spans="1:12" x14ac:dyDescent="0.25">
      <c r="A922" s="3" t="s">
        <v>1057</v>
      </c>
      <c r="B922" s="4" t="s">
        <v>2166</v>
      </c>
      <c r="C922" s="4" t="s">
        <v>25</v>
      </c>
      <c r="D922" s="4" t="s">
        <v>26</v>
      </c>
      <c r="E922" s="5" t="str">
        <f>"9520816"</f>
        <v>9520816</v>
      </c>
      <c r="F922" s="3" t="s">
        <v>2946</v>
      </c>
      <c r="G922" s="5">
        <v>2294067885</v>
      </c>
      <c r="H922" s="4" t="s">
        <v>2947</v>
      </c>
      <c r="I922" s="4" t="s">
        <v>2299</v>
      </c>
      <c r="J922" s="4" t="s">
        <v>2944</v>
      </c>
      <c r="K922" s="4" t="s">
        <v>2948</v>
      </c>
      <c r="L922" s="5">
        <v>19007</v>
      </c>
    </row>
    <row r="923" spans="1:12" x14ac:dyDescent="0.25">
      <c r="A923" s="3" t="s">
        <v>1057</v>
      </c>
      <c r="B923" s="4" t="s">
        <v>2166</v>
      </c>
      <c r="C923" s="4" t="s">
        <v>14</v>
      </c>
      <c r="D923" s="4" t="s">
        <v>15</v>
      </c>
      <c r="E923" s="5" t="str">
        <f>"9050586"</f>
        <v>9050586</v>
      </c>
      <c r="F923" s="3" t="s">
        <v>2949</v>
      </c>
      <c r="G923" s="5">
        <v>2299084996</v>
      </c>
      <c r="H923" s="4" t="s">
        <v>2950</v>
      </c>
      <c r="I923" s="4" t="s">
        <v>2321</v>
      </c>
      <c r="J923" s="4" t="s">
        <v>2507</v>
      </c>
      <c r="K923" s="4" t="s">
        <v>2951</v>
      </c>
      <c r="L923" s="5">
        <v>19023</v>
      </c>
    </row>
    <row r="924" spans="1:12" x14ac:dyDescent="0.25">
      <c r="A924" s="3" t="s">
        <v>1057</v>
      </c>
      <c r="B924" s="4" t="s">
        <v>2166</v>
      </c>
      <c r="C924" s="4" t="s">
        <v>25</v>
      </c>
      <c r="D924" s="4" t="s">
        <v>26</v>
      </c>
      <c r="E924" s="5" t="str">
        <f>"9051300"</f>
        <v>9051300</v>
      </c>
      <c r="F924" s="3" t="s">
        <v>2952</v>
      </c>
      <c r="G924" s="5">
        <v>2106612084</v>
      </c>
      <c r="H924" s="4" t="s">
        <v>2953</v>
      </c>
      <c r="I924" s="4" t="s">
        <v>2210</v>
      </c>
      <c r="J924" s="4" t="s">
        <v>2211</v>
      </c>
      <c r="K924" s="4" t="s">
        <v>2954</v>
      </c>
      <c r="L924" s="5">
        <v>15354</v>
      </c>
    </row>
    <row r="925" spans="1:12" x14ac:dyDescent="0.25">
      <c r="A925" s="3" t="s">
        <v>1057</v>
      </c>
      <c r="B925" s="4" t="s">
        <v>2166</v>
      </c>
      <c r="C925" s="4" t="s">
        <v>14</v>
      </c>
      <c r="D925" s="4" t="s">
        <v>15</v>
      </c>
      <c r="E925" s="5" t="str">
        <f>"9520569"</f>
        <v>9520569</v>
      </c>
      <c r="F925" s="3" t="s">
        <v>2955</v>
      </c>
      <c r="G925" s="5">
        <v>2102409598</v>
      </c>
      <c r="H925" s="4" t="s">
        <v>2956</v>
      </c>
      <c r="I925" s="4" t="s">
        <v>2169</v>
      </c>
      <c r="J925" s="4" t="s">
        <v>2170</v>
      </c>
      <c r="K925" s="4" t="s">
        <v>2674</v>
      </c>
      <c r="L925" s="5">
        <v>13678</v>
      </c>
    </row>
    <row r="926" spans="1:12" x14ac:dyDescent="0.25">
      <c r="A926" s="3" t="s">
        <v>1057</v>
      </c>
      <c r="B926" s="4" t="s">
        <v>2166</v>
      </c>
      <c r="C926" s="4" t="s">
        <v>14</v>
      </c>
      <c r="D926" s="4" t="s">
        <v>15</v>
      </c>
      <c r="E926" s="5" t="str">
        <f>"9050298"</f>
        <v>9050298</v>
      </c>
      <c r="F926" s="3" t="s">
        <v>2957</v>
      </c>
      <c r="G926" s="5">
        <v>2295036383</v>
      </c>
      <c r="H926" s="4" t="s">
        <v>2958</v>
      </c>
      <c r="I926" s="4" t="s">
        <v>2475</v>
      </c>
      <c r="J926" s="4" t="s">
        <v>2959</v>
      </c>
      <c r="K926" s="4" t="s">
        <v>2960</v>
      </c>
      <c r="L926" s="5">
        <v>19015</v>
      </c>
    </row>
    <row r="927" spans="1:12" x14ac:dyDescent="0.25">
      <c r="A927" s="3" t="s">
        <v>1057</v>
      </c>
      <c r="B927" s="4" t="s">
        <v>2166</v>
      </c>
      <c r="C927" s="4" t="s">
        <v>25</v>
      </c>
      <c r="D927" s="4" t="s">
        <v>26</v>
      </c>
      <c r="E927" s="5" t="str">
        <f>"9521053"</f>
        <v>9521053</v>
      </c>
      <c r="F927" s="3" t="s">
        <v>2961</v>
      </c>
      <c r="G927" s="5">
        <v>2106028776</v>
      </c>
      <c r="H927" s="4" t="s">
        <v>2962</v>
      </c>
      <c r="I927" s="4" t="s">
        <v>2210</v>
      </c>
      <c r="J927" s="4" t="s">
        <v>2351</v>
      </c>
      <c r="K927" s="4" t="s">
        <v>2963</v>
      </c>
      <c r="L927" s="5">
        <v>19002</v>
      </c>
    </row>
    <row r="928" spans="1:12" x14ac:dyDescent="0.25">
      <c r="A928" s="3" t="s">
        <v>1057</v>
      </c>
      <c r="B928" s="4" t="s">
        <v>2166</v>
      </c>
      <c r="C928" s="4" t="s">
        <v>25</v>
      </c>
      <c r="D928" s="4" t="s">
        <v>26</v>
      </c>
      <c r="E928" s="5" t="str">
        <f>"9521055"</f>
        <v>9521055</v>
      </c>
      <c r="F928" s="3" t="s">
        <v>2964</v>
      </c>
      <c r="G928" s="5">
        <v>2299025402</v>
      </c>
      <c r="H928" s="4" t="s">
        <v>2965</v>
      </c>
      <c r="I928" s="4" t="s">
        <v>2321</v>
      </c>
      <c r="J928" s="4" t="s">
        <v>2526</v>
      </c>
      <c r="K928" s="4" t="s">
        <v>2966</v>
      </c>
      <c r="L928" s="5">
        <v>19003</v>
      </c>
    </row>
    <row r="929" spans="1:12" x14ac:dyDescent="0.25">
      <c r="A929" s="3" t="s">
        <v>1057</v>
      </c>
      <c r="B929" s="4" t="s">
        <v>2166</v>
      </c>
      <c r="C929" s="4" t="s">
        <v>25</v>
      </c>
      <c r="D929" s="4" t="s">
        <v>26</v>
      </c>
      <c r="E929" s="5" t="str">
        <f>"9521056"</f>
        <v>9521056</v>
      </c>
      <c r="F929" s="3" t="s">
        <v>2967</v>
      </c>
      <c r="G929" s="5">
        <v>2299085304</v>
      </c>
      <c r="H929" s="4" t="s">
        <v>2968</v>
      </c>
      <c r="I929" s="4" t="s">
        <v>2321</v>
      </c>
      <c r="J929" s="4" t="s">
        <v>2507</v>
      </c>
      <c r="K929" s="4" t="s">
        <v>2969</v>
      </c>
      <c r="L929" s="5">
        <v>19003</v>
      </c>
    </row>
    <row r="930" spans="1:12" x14ac:dyDescent="0.25">
      <c r="A930" s="3" t="s">
        <v>1057</v>
      </c>
      <c r="B930" s="4" t="s">
        <v>2166</v>
      </c>
      <c r="C930" s="4" t="s">
        <v>14</v>
      </c>
      <c r="D930" s="4" t="s">
        <v>15</v>
      </c>
      <c r="E930" s="5" t="str">
        <f>"9521047"</f>
        <v>9521047</v>
      </c>
      <c r="F930" s="3" t="s">
        <v>2970</v>
      </c>
      <c r="G930" s="5">
        <v>2102476444</v>
      </c>
      <c r="H930" s="4" t="s">
        <v>2971</v>
      </c>
      <c r="I930" s="4" t="s">
        <v>2169</v>
      </c>
      <c r="J930" s="4" t="s">
        <v>2236</v>
      </c>
      <c r="K930" s="4" t="s">
        <v>2972</v>
      </c>
      <c r="L930" s="5">
        <v>13677</v>
      </c>
    </row>
    <row r="931" spans="1:12" ht="30" x14ac:dyDescent="0.25">
      <c r="A931" s="3" t="s">
        <v>1057</v>
      </c>
      <c r="B931" s="4" t="s">
        <v>2166</v>
      </c>
      <c r="C931" s="4" t="s">
        <v>14</v>
      </c>
      <c r="D931" s="4" t="s">
        <v>15</v>
      </c>
      <c r="E931" s="5" t="str">
        <f>"9521178"</f>
        <v>9521178</v>
      </c>
      <c r="F931" s="3" t="s">
        <v>2973</v>
      </c>
      <c r="G931" s="5">
        <v>2295039544</v>
      </c>
      <c r="H931" s="4" t="s">
        <v>2974</v>
      </c>
      <c r="I931" s="4" t="s">
        <v>2475</v>
      </c>
      <c r="J931" s="4" t="s">
        <v>2975</v>
      </c>
      <c r="K931" s="4" t="s">
        <v>2976</v>
      </c>
      <c r="L931" s="5">
        <v>19015</v>
      </c>
    </row>
    <row r="932" spans="1:12" x14ac:dyDescent="0.25">
      <c r="A932" s="3" t="s">
        <v>1057</v>
      </c>
      <c r="B932" s="4" t="s">
        <v>2166</v>
      </c>
      <c r="C932" s="4" t="s">
        <v>25</v>
      </c>
      <c r="D932" s="4" t="s">
        <v>26</v>
      </c>
      <c r="E932" s="5" t="str">
        <f>"9521176"</f>
        <v>9521176</v>
      </c>
      <c r="F932" s="3" t="s">
        <v>2977</v>
      </c>
      <c r="G932" s="5">
        <v>2102477601</v>
      </c>
      <c r="H932" s="4" t="s">
        <v>2978</v>
      </c>
      <c r="I932" s="4" t="s">
        <v>2169</v>
      </c>
      <c r="J932" s="4" t="s">
        <v>2169</v>
      </c>
      <c r="K932" s="4" t="s">
        <v>2979</v>
      </c>
      <c r="L932" s="5">
        <v>13671</v>
      </c>
    </row>
    <row r="933" spans="1:12" x14ac:dyDescent="0.25">
      <c r="A933" s="3" t="s">
        <v>1057</v>
      </c>
      <c r="B933" s="4" t="s">
        <v>2166</v>
      </c>
      <c r="C933" s="4" t="s">
        <v>25</v>
      </c>
      <c r="D933" s="4" t="s">
        <v>26</v>
      </c>
      <c r="E933" s="5" t="str">
        <f>"9521051"</f>
        <v>9521051</v>
      </c>
      <c r="F933" s="3" t="s">
        <v>2980</v>
      </c>
      <c r="G933" s="5">
        <v>2102476800</v>
      </c>
      <c r="H933" s="4" t="s">
        <v>2981</v>
      </c>
      <c r="I933" s="4" t="s">
        <v>2169</v>
      </c>
      <c r="J933" s="4" t="s">
        <v>2169</v>
      </c>
      <c r="K933" s="4" t="s">
        <v>2982</v>
      </c>
      <c r="L933" s="5">
        <v>13677</v>
      </c>
    </row>
    <row r="934" spans="1:12" x14ac:dyDescent="0.25">
      <c r="A934" s="3" t="s">
        <v>1057</v>
      </c>
      <c r="B934" s="4" t="s">
        <v>2166</v>
      </c>
      <c r="C934" s="4" t="s">
        <v>25</v>
      </c>
      <c r="D934" s="4" t="s">
        <v>26</v>
      </c>
      <c r="E934" s="5" t="str">
        <f>"9521052"</f>
        <v>9521052</v>
      </c>
      <c r="F934" s="3" t="s">
        <v>2983</v>
      </c>
      <c r="G934" s="5">
        <v>2102478873</v>
      </c>
      <c r="H934" s="4" t="s">
        <v>2984</v>
      </c>
      <c r="I934" s="4" t="s">
        <v>2169</v>
      </c>
      <c r="J934" s="4" t="s">
        <v>2170</v>
      </c>
      <c r="K934" s="4" t="s">
        <v>2985</v>
      </c>
      <c r="L934" s="5">
        <v>13677</v>
      </c>
    </row>
    <row r="935" spans="1:12" x14ac:dyDescent="0.25">
      <c r="A935" s="3" t="s">
        <v>1057</v>
      </c>
      <c r="B935" s="4" t="s">
        <v>2166</v>
      </c>
      <c r="C935" s="4" t="s">
        <v>25</v>
      </c>
      <c r="D935" s="4" t="s">
        <v>26</v>
      </c>
      <c r="E935" s="5" t="str">
        <f>"9521308"</f>
        <v>9521308</v>
      </c>
      <c r="F935" s="3" t="s">
        <v>2986</v>
      </c>
      <c r="G935" s="5">
        <v>2102448890</v>
      </c>
      <c r="H935" s="4" t="s">
        <v>2987</v>
      </c>
      <c r="I935" s="4" t="s">
        <v>2169</v>
      </c>
      <c r="J935" s="4" t="s">
        <v>2170</v>
      </c>
      <c r="K935" s="4" t="s">
        <v>2988</v>
      </c>
      <c r="L935" s="5">
        <v>13677</v>
      </c>
    </row>
    <row r="936" spans="1:12" x14ac:dyDescent="0.25">
      <c r="A936" s="3" t="s">
        <v>1057</v>
      </c>
      <c r="B936" s="4" t="s">
        <v>2166</v>
      </c>
      <c r="C936" s="4" t="s">
        <v>25</v>
      </c>
      <c r="D936" s="4" t="s">
        <v>26</v>
      </c>
      <c r="E936" s="5" t="str">
        <f>"9521425"</f>
        <v>9521425</v>
      </c>
      <c r="F936" s="3" t="s">
        <v>2989</v>
      </c>
      <c r="G936" s="5">
        <v>2102409956</v>
      </c>
      <c r="H936" s="4" t="s">
        <v>2990</v>
      </c>
      <c r="I936" s="4" t="s">
        <v>2169</v>
      </c>
      <c r="J936" s="4" t="s">
        <v>2991</v>
      </c>
      <c r="K936" s="4" t="s">
        <v>2992</v>
      </c>
      <c r="L936" s="5">
        <v>13678</v>
      </c>
    </row>
    <row r="937" spans="1:12" x14ac:dyDescent="0.25">
      <c r="A937" s="3" t="s">
        <v>1057</v>
      </c>
      <c r="B937" s="4" t="s">
        <v>2166</v>
      </c>
      <c r="C937" s="4" t="s">
        <v>25</v>
      </c>
      <c r="D937" s="4" t="s">
        <v>26</v>
      </c>
      <c r="E937" s="5" t="str">
        <f>"9521426"</f>
        <v>9521426</v>
      </c>
      <c r="F937" s="3" t="s">
        <v>2993</v>
      </c>
      <c r="G937" s="5">
        <v>2102464854</v>
      </c>
      <c r="H937" s="4" t="s">
        <v>2994</v>
      </c>
      <c r="I937" s="4" t="s">
        <v>2169</v>
      </c>
      <c r="J937" s="4" t="s">
        <v>2169</v>
      </c>
      <c r="K937" s="4" t="s">
        <v>2995</v>
      </c>
      <c r="L937" s="5">
        <v>13674</v>
      </c>
    </row>
    <row r="938" spans="1:12" x14ac:dyDescent="0.25">
      <c r="A938" s="3" t="s">
        <v>1057</v>
      </c>
      <c r="B938" s="4" t="s">
        <v>2166</v>
      </c>
      <c r="C938" s="4" t="s">
        <v>14</v>
      </c>
      <c r="D938" s="4" t="s">
        <v>15</v>
      </c>
      <c r="E938" s="5" t="str">
        <f>"9521048"</f>
        <v>9521048</v>
      </c>
      <c r="F938" s="3" t="s">
        <v>2996</v>
      </c>
      <c r="G938" s="5">
        <v>2102476741</v>
      </c>
      <c r="H938" s="4" t="s">
        <v>2997</v>
      </c>
      <c r="I938" s="4" t="s">
        <v>2169</v>
      </c>
      <c r="J938" s="4" t="s">
        <v>2170</v>
      </c>
      <c r="K938" s="4" t="s">
        <v>2998</v>
      </c>
      <c r="L938" s="5">
        <v>13677</v>
      </c>
    </row>
    <row r="939" spans="1:12" x14ac:dyDescent="0.25">
      <c r="A939" s="3" t="s">
        <v>1057</v>
      </c>
      <c r="B939" s="4" t="s">
        <v>2166</v>
      </c>
      <c r="C939" s="4" t="s">
        <v>14</v>
      </c>
      <c r="D939" s="4" t="s">
        <v>15</v>
      </c>
      <c r="E939" s="5" t="str">
        <f>"9521331"</f>
        <v>9521331</v>
      </c>
      <c r="F939" s="3" t="s">
        <v>2999</v>
      </c>
      <c r="G939" s="5">
        <v>2102448760</v>
      </c>
      <c r="H939" s="4" t="s">
        <v>3000</v>
      </c>
      <c r="I939" s="4" t="s">
        <v>2169</v>
      </c>
      <c r="J939" s="4" t="s">
        <v>3001</v>
      </c>
      <c r="K939" s="4" t="s">
        <v>3002</v>
      </c>
      <c r="L939" s="5">
        <v>13677</v>
      </c>
    </row>
    <row r="940" spans="1:12" x14ac:dyDescent="0.25">
      <c r="A940" s="3" t="s">
        <v>1057</v>
      </c>
      <c r="B940" s="4" t="s">
        <v>2166</v>
      </c>
      <c r="C940" s="4" t="s">
        <v>14</v>
      </c>
      <c r="D940" s="4" t="s">
        <v>15</v>
      </c>
      <c r="E940" s="5" t="str">
        <f>"9521332"</f>
        <v>9521332</v>
      </c>
      <c r="F940" s="3" t="s">
        <v>3003</v>
      </c>
      <c r="G940" s="5">
        <v>2102448720</v>
      </c>
      <c r="H940" s="4" t="s">
        <v>3004</v>
      </c>
      <c r="I940" s="4" t="s">
        <v>2169</v>
      </c>
      <c r="J940" s="4" t="s">
        <v>2170</v>
      </c>
      <c r="K940" s="4" t="s">
        <v>3005</v>
      </c>
      <c r="L940" s="5">
        <v>13677</v>
      </c>
    </row>
    <row r="941" spans="1:12" x14ac:dyDescent="0.25">
      <c r="A941" s="3" t="s">
        <v>1057</v>
      </c>
      <c r="B941" s="4" t="s">
        <v>2166</v>
      </c>
      <c r="C941" s="4" t="s">
        <v>14</v>
      </c>
      <c r="D941" s="4" t="s">
        <v>15</v>
      </c>
      <c r="E941" s="5" t="str">
        <f>"9050293"</f>
        <v>9050293</v>
      </c>
      <c r="F941" s="3" t="s">
        <v>3006</v>
      </c>
      <c r="G941" s="5">
        <v>2106210735</v>
      </c>
      <c r="H941" s="4" t="s">
        <v>3007</v>
      </c>
      <c r="I941" s="4" t="s">
        <v>2452</v>
      </c>
      <c r="J941" s="4" t="s">
        <v>3008</v>
      </c>
      <c r="K941" s="4" t="s">
        <v>3009</v>
      </c>
      <c r="L941" s="5">
        <v>14574</v>
      </c>
    </row>
    <row r="942" spans="1:12" x14ac:dyDescent="0.25">
      <c r="A942" s="3" t="s">
        <v>1057</v>
      </c>
      <c r="B942" s="4" t="s">
        <v>2166</v>
      </c>
      <c r="C942" s="4" t="s">
        <v>25</v>
      </c>
      <c r="D942" s="4" t="s">
        <v>26</v>
      </c>
      <c r="E942" s="5" t="str">
        <f>"9521199"</f>
        <v>9521199</v>
      </c>
      <c r="F942" s="3" t="s">
        <v>3010</v>
      </c>
      <c r="G942" s="5">
        <v>2106624951</v>
      </c>
      <c r="H942" s="4" t="s">
        <v>3011</v>
      </c>
      <c r="I942" s="4" t="s">
        <v>2183</v>
      </c>
      <c r="J942" s="4" t="s">
        <v>2313</v>
      </c>
      <c r="K942" s="4" t="s">
        <v>3012</v>
      </c>
      <c r="L942" s="5">
        <v>19400</v>
      </c>
    </row>
    <row r="943" spans="1:12" x14ac:dyDescent="0.25">
      <c r="A943" s="3" t="s">
        <v>1057</v>
      </c>
      <c r="B943" s="4" t="s">
        <v>2166</v>
      </c>
      <c r="C943" s="4" t="s">
        <v>25</v>
      </c>
      <c r="D943" s="4" t="s">
        <v>26</v>
      </c>
      <c r="E943" s="5" t="str">
        <f>"9521054"</f>
        <v>9521054</v>
      </c>
      <c r="F943" s="3" t="s">
        <v>3013</v>
      </c>
      <c r="G943" s="5">
        <v>2294083889</v>
      </c>
      <c r="H943" s="4" t="s">
        <v>3014</v>
      </c>
      <c r="I943" s="4" t="s">
        <v>2188</v>
      </c>
      <c r="J943" s="4" t="s">
        <v>2189</v>
      </c>
      <c r="K943" s="4" t="s">
        <v>3015</v>
      </c>
      <c r="L943" s="5">
        <v>19016</v>
      </c>
    </row>
    <row r="944" spans="1:12" x14ac:dyDescent="0.25">
      <c r="A944" s="3" t="s">
        <v>1057</v>
      </c>
      <c r="B944" s="4" t="s">
        <v>2166</v>
      </c>
      <c r="C944" s="4" t="s">
        <v>25</v>
      </c>
      <c r="D944" s="4" t="s">
        <v>26</v>
      </c>
      <c r="E944" s="5" t="str">
        <f>"9521202"</f>
        <v>9521202</v>
      </c>
      <c r="F944" s="3" t="s">
        <v>3016</v>
      </c>
      <c r="G944" s="5">
        <v>2106618889</v>
      </c>
      <c r="H944" s="4" t="s">
        <v>3017</v>
      </c>
      <c r="I944" s="4" t="s">
        <v>2193</v>
      </c>
      <c r="J944" s="4" t="s">
        <v>2194</v>
      </c>
      <c r="K944" s="4" t="s">
        <v>3018</v>
      </c>
      <c r="L944" s="5">
        <v>15344</v>
      </c>
    </row>
    <row r="945" spans="1:12" x14ac:dyDescent="0.25">
      <c r="A945" s="3" t="s">
        <v>1057</v>
      </c>
      <c r="B945" s="4" t="s">
        <v>2166</v>
      </c>
      <c r="C945" s="4" t="s">
        <v>25</v>
      </c>
      <c r="D945" s="4" t="s">
        <v>26</v>
      </c>
      <c r="E945" s="5" t="str">
        <f>"9521203"</f>
        <v>9521203</v>
      </c>
      <c r="F945" s="3" t="s">
        <v>3019</v>
      </c>
      <c r="G945" s="5">
        <v>2106618135</v>
      </c>
      <c r="H945" s="4" t="s">
        <v>3020</v>
      </c>
      <c r="I945" s="4" t="s">
        <v>2193</v>
      </c>
      <c r="J945" s="4" t="s">
        <v>2194</v>
      </c>
      <c r="K945" s="4" t="s">
        <v>3021</v>
      </c>
      <c r="L945" s="5">
        <v>15344</v>
      </c>
    </row>
    <row r="946" spans="1:12" x14ac:dyDescent="0.25">
      <c r="A946" s="3" t="s">
        <v>1057</v>
      </c>
      <c r="B946" s="4" t="s">
        <v>2166</v>
      </c>
      <c r="C946" s="4" t="s">
        <v>25</v>
      </c>
      <c r="D946" s="4" t="s">
        <v>26</v>
      </c>
      <c r="E946" s="5" t="str">
        <f>"9521177"</f>
        <v>9521177</v>
      </c>
      <c r="F946" s="3" t="s">
        <v>3022</v>
      </c>
      <c r="G946" s="5">
        <v>2106034407</v>
      </c>
      <c r="H946" s="4" t="s">
        <v>3023</v>
      </c>
      <c r="I946" s="4" t="s">
        <v>2193</v>
      </c>
      <c r="J946" s="4" t="s">
        <v>3024</v>
      </c>
      <c r="K946" s="4" t="s">
        <v>3025</v>
      </c>
      <c r="L946" s="5">
        <v>15351</v>
      </c>
    </row>
    <row r="947" spans="1:12" x14ac:dyDescent="0.25">
      <c r="A947" s="3" t="s">
        <v>1057</v>
      </c>
      <c r="B947" s="4" t="s">
        <v>2166</v>
      </c>
      <c r="C947" s="4" t="s">
        <v>25</v>
      </c>
      <c r="D947" s="4" t="s">
        <v>26</v>
      </c>
      <c r="E947" s="5" t="str">
        <f>"9521352"</f>
        <v>9521352</v>
      </c>
      <c r="F947" s="3" t="s">
        <v>3026</v>
      </c>
      <c r="G947" s="5">
        <v>2106025001</v>
      </c>
      <c r="H947" s="4" t="s">
        <v>3027</v>
      </c>
      <c r="I947" s="4" t="s">
        <v>2188</v>
      </c>
      <c r="J947" s="4" t="s">
        <v>2259</v>
      </c>
      <c r="K947" s="4" t="s">
        <v>3028</v>
      </c>
      <c r="L947" s="5">
        <v>19004</v>
      </c>
    </row>
    <row r="948" spans="1:12" x14ac:dyDescent="0.25">
      <c r="A948" s="3" t="s">
        <v>1057</v>
      </c>
      <c r="B948" s="4" t="s">
        <v>2166</v>
      </c>
      <c r="C948" s="4" t="s">
        <v>14</v>
      </c>
      <c r="D948" s="4" t="s">
        <v>15</v>
      </c>
      <c r="E948" s="5" t="str">
        <f>"9521194"</f>
        <v>9521194</v>
      </c>
      <c r="F948" s="3" t="s">
        <v>3029</v>
      </c>
      <c r="G948" s="5">
        <v>2294045790</v>
      </c>
      <c r="H948" s="4" t="s">
        <v>3030</v>
      </c>
      <c r="I948" s="4" t="s">
        <v>2188</v>
      </c>
      <c r="J948" s="4" t="s">
        <v>2604</v>
      </c>
      <c r="K948" s="4" t="s">
        <v>2605</v>
      </c>
      <c r="L948" s="5">
        <v>19016</v>
      </c>
    </row>
    <row r="949" spans="1:12" x14ac:dyDescent="0.25">
      <c r="A949" s="3" t="s">
        <v>1057</v>
      </c>
      <c r="B949" s="4" t="s">
        <v>2166</v>
      </c>
      <c r="C949" s="4" t="s">
        <v>14</v>
      </c>
      <c r="D949" s="4" t="s">
        <v>15</v>
      </c>
      <c r="E949" s="5" t="str">
        <f>"9521197"</f>
        <v>9521197</v>
      </c>
      <c r="F949" s="3" t="s">
        <v>3031</v>
      </c>
      <c r="G949" s="5">
        <v>2294022023</v>
      </c>
      <c r="H949" s="4" t="s">
        <v>3032</v>
      </c>
      <c r="I949" s="4" t="s">
        <v>2188</v>
      </c>
      <c r="J949" s="4" t="s">
        <v>2271</v>
      </c>
      <c r="K949" s="4" t="s">
        <v>3033</v>
      </c>
      <c r="L949" s="5">
        <v>19016</v>
      </c>
    </row>
    <row r="950" spans="1:12" x14ac:dyDescent="0.25">
      <c r="A950" s="3" t="s">
        <v>1057</v>
      </c>
      <c r="B950" s="4" t="s">
        <v>2166</v>
      </c>
      <c r="C950" s="4" t="s">
        <v>14</v>
      </c>
      <c r="D950" s="4" t="s">
        <v>15</v>
      </c>
      <c r="E950" s="5" t="str">
        <f>"9521195"</f>
        <v>9521195</v>
      </c>
      <c r="F950" s="3" t="s">
        <v>3034</v>
      </c>
      <c r="G950" s="5">
        <v>2106049631</v>
      </c>
      <c r="H950" s="4" t="s">
        <v>3035</v>
      </c>
      <c r="I950" s="4" t="s">
        <v>2193</v>
      </c>
      <c r="J950" s="4" t="s">
        <v>2283</v>
      </c>
      <c r="K950" s="4" t="s">
        <v>3036</v>
      </c>
      <c r="L950" s="5">
        <v>15344</v>
      </c>
    </row>
    <row r="951" spans="1:12" x14ac:dyDescent="0.25">
      <c r="A951" s="3" t="s">
        <v>1057</v>
      </c>
      <c r="B951" s="4" t="s">
        <v>2166</v>
      </c>
      <c r="C951" s="4" t="s">
        <v>14</v>
      </c>
      <c r="D951" s="4" t="s">
        <v>15</v>
      </c>
      <c r="E951" s="5" t="str">
        <f>"9521192"</f>
        <v>9521192</v>
      </c>
      <c r="F951" s="3" t="s">
        <v>3037</v>
      </c>
      <c r="G951" s="5">
        <v>2291071533</v>
      </c>
      <c r="H951" s="4" t="s">
        <v>3038</v>
      </c>
      <c r="I951" s="4" t="s">
        <v>2304</v>
      </c>
      <c r="J951" s="4" t="s">
        <v>3039</v>
      </c>
      <c r="K951" s="4" t="s">
        <v>3040</v>
      </c>
      <c r="L951" s="5">
        <v>19010</v>
      </c>
    </row>
    <row r="952" spans="1:12" x14ac:dyDescent="0.25">
      <c r="A952" s="3" t="s">
        <v>1057</v>
      </c>
      <c r="B952" s="4" t="s">
        <v>2166</v>
      </c>
      <c r="C952" s="4" t="s">
        <v>14</v>
      </c>
      <c r="D952" s="4" t="s">
        <v>15</v>
      </c>
      <c r="E952" s="5" t="str">
        <f>"9521336"</f>
        <v>9521336</v>
      </c>
      <c r="F952" s="3" t="s">
        <v>3041</v>
      </c>
      <c r="G952" s="5">
        <v>2299022978</v>
      </c>
      <c r="H952" s="4" t="s">
        <v>3042</v>
      </c>
      <c r="I952" s="4" t="s">
        <v>2321</v>
      </c>
      <c r="J952" s="4" t="s">
        <v>2526</v>
      </c>
      <c r="K952" s="4" t="s">
        <v>3043</v>
      </c>
      <c r="L952" s="5">
        <v>19003</v>
      </c>
    </row>
    <row r="953" spans="1:12" x14ac:dyDescent="0.25">
      <c r="A953" s="3" t="s">
        <v>1057</v>
      </c>
      <c r="B953" s="4" t="s">
        <v>2166</v>
      </c>
      <c r="C953" s="4" t="s">
        <v>14</v>
      </c>
      <c r="D953" s="4" t="s">
        <v>15</v>
      </c>
      <c r="E953" s="5" t="str">
        <f>"9521196"</f>
        <v>9521196</v>
      </c>
      <c r="F953" s="3" t="s">
        <v>3044</v>
      </c>
      <c r="G953" s="5">
        <v>2106618649</v>
      </c>
      <c r="H953" s="4" t="s">
        <v>3045</v>
      </c>
      <c r="I953" s="4" t="s">
        <v>2193</v>
      </c>
      <c r="J953" s="4" t="s">
        <v>2283</v>
      </c>
      <c r="K953" s="4" t="s">
        <v>3046</v>
      </c>
      <c r="L953" s="5">
        <v>15344</v>
      </c>
    </row>
    <row r="954" spans="1:12" x14ac:dyDescent="0.25">
      <c r="A954" s="3" t="s">
        <v>1057</v>
      </c>
      <c r="B954" s="4" t="s">
        <v>2166</v>
      </c>
      <c r="C954" s="4" t="s">
        <v>25</v>
      </c>
      <c r="D954" s="4" t="s">
        <v>26</v>
      </c>
      <c r="E954" s="5" t="str">
        <f>"9521201"</f>
        <v>9521201</v>
      </c>
      <c r="F954" s="3" t="s">
        <v>3047</v>
      </c>
      <c r="G954" s="5">
        <v>2294152646</v>
      </c>
      <c r="H954" s="4" t="s">
        <v>3048</v>
      </c>
      <c r="I954" s="4" t="s">
        <v>2188</v>
      </c>
      <c r="J954" s="4" t="s">
        <v>2271</v>
      </c>
      <c r="K954" s="4" t="s">
        <v>3049</v>
      </c>
      <c r="L954" s="5">
        <v>19016</v>
      </c>
    </row>
    <row r="955" spans="1:12" x14ac:dyDescent="0.25">
      <c r="A955" s="3" t="s">
        <v>1057</v>
      </c>
      <c r="B955" s="4" t="s">
        <v>2166</v>
      </c>
      <c r="C955" s="4" t="s">
        <v>25</v>
      </c>
      <c r="D955" s="4" t="s">
        <v>26</v>
      </c>
      <c r="E955" s="5" t="str">
        <f>"9521351"</f>
        <v>9521351</v>
      </c>
      <c r="F955" s="3" t="s">
        <v>3050</v>
      </c>
      <c r="G955" s="5">
        <v>2169000789</v>
      </c>
      <c r="H955" s="4" t="s">
        <v>3051</v>
      </c>
      <c r="I955" s="4" t="s">
        <v>2218</v>
      </c>
      <c r="J955" s="4" t="s">
        <v>2255</v>
      </c>
      <c r="K955" s="4" t="s">
        <v>2256</v>
      </c>
      <c r="L955" s="5">
        <v>19009</v>
      </c>
    </row>
    <row r="956" spans="1:12" x14ac:dyDescent="0.25">
      <c r="A956" s="3" t="s">
        <v>1057</v>
      </c>
      <c r="B956" s="4" t="s">
        <v>2166</v>
      </c>
      <c r="C956" s="4" t="s">
        <v>14</v>
      </c>
      <c r="D956" s="4" t="s">
        <v>15</v>
      </c>
      <c r="E956" s="5" t="str">
        <f>"9521337"</f>
        <v>9521337</v>
      </c>
      <c r="F956" s="3" t="s">
        <v>3052</v>
      </c>
      <c r="G956" s="5">
        <v>2106043398</v>
      </c>
      <c r="H956" s="4" t="s">
        <v>3053</v>
      </c>
      <c r="I956" s="4" t="s">
        <v>2218</v>
      </c>
      <c r="J956" s="4" t="s">
        <v>3054</v>
      </c>
      <c r="K956" s="4" t="s">
        <v>3055</v>
      </c>
      <c r="L956" s="5">
        <v>19009</v>
      </c>
    </row>
    <row r="957" spans="1:12" x14ac:dyDescent="0.25">
      <c r="A957" s="3" t="s">
        <v>1057</v>
      </c>
      <c r="B957" s="4" t="s">
        <v>2166</v>
      </c>
      <c r="C957" s="4" t="s">
        <v>25</v>
      </c>
      <c r="D957" s="4" t="s">
        <v>26</v>
      </c>
      <c r="E957" s="5" t="str">
        <f>"9521430"</f>
        <v>9521430</v>
      </c>
      <c r="F957" s="3" t="s">
        <v>3056</v>
      </c>
      <c r="G957" s="5">
        <v>2294049101</v>
      </c>
      <c r="H957" s="4" t="s">
        <v>3057</v>
      </c>
      <c r="I957" s="4" t="s">
        <v>2188</v>
      </c>
      <c r="J957" s="4" t="s">
        <v>3058</v>
      </c>
      <c r="K957" s="4" t="s">
        <v>3059</v>
      </c>
      <c r="L957" s="5">
        <v>19016</v>
      </c>
    </row>
    <row r="958" spans="1:12" x14ac:dyDescent="0.25">
      <c r="A958" s="3" t="s">
        <v>1057</v>
      </c>
      <c r="B958" s="4" t="s">
        <v>2166</v>
      </c>
      <c r="C958" s="4" t="s">
        <v>25</v>
      </c>
      <c r="D958" s="4" t="s">
        <v>26</v>
      </c>
      <c r="E958" s="5" t="str">
        <f>"9521432"</f>
        <v>9521432</v>
      </c>
      <c r="F958" s="3" t="s">
        <v>3060</v>
      </c>
      <c r="G958" s="5">
        <v>2294096424</v>
      </c>
      <c r="H958" s="4" t="s">
        <v>3061</v>
      </c>
      <c r="I958" s="4" t="s">
        <v>2299</v>
      </c>
      <c r="J958" s="4" t="s">
        <v>3062</v>
      </c>
      <c r="K958" s="4" t="s">
        <v>3063</v>
      </c>
      <c r="L958" s="5">
        <v>19005</v>
      </c>
    </row>
    <row r="959" spans="1:12" x14ac:dyDescent="0.25">
      <c r="A959" s="3" t="s">
        <v>1057</v>
      </c>
      <c r="B959" s="4" t="s">
        <v>2166</v>
      </c>
      <c r="C959" s="4" t="s">
        <v>14</v>
      </c>
      <c r="D959" s="4" t="s">
        <v>15</v>
      </c>
      <c r="E959" s="5" t="str">
        <f>"9521409"</f>
        <v>9521409</v>
      </c>
      <c r="F959" s="3" t="s">
        <v>3064</v>
      </c>
      <c r="G959" s="5">
        <v>2291052780</v>
      </c>
      <c r="H959" s="4" t="s">
        <v>3065</v>
      </c>
      <c r="I959" s="4" t="s">
        <v>2304</v>
      </c>
      <c r="J959" s="4" t="s">
        <v>2401</v>
      </c>
      <c r="K959" s="4" t="s">
        <v>3066</v>
      </c>
      <c r="L959" s="5">
        <v>19013</v>
      </c>
    </row>
    <row r="960" spans="1:12" x14ac:dyDescent="0.25">
      <c r="A960" s="3" t="s">
        <v>1057</v>
      </c>
      <c r="B960" s="4" t="s">
        <v>2166</v>
      </c>
      <c r="C960" s="4" t="s">
        <v>14</v>
      </c>
      <c r="D960" s="4" t="s">
        <v>15</v>
      </c>
      <c r="E960" s="5" t="str">
        <f>"9521407"</f>
        <v>9521407</v>
      </c>
      <c r="F960" s="3" t="s">
        <v>3067</v>
      </c>
      <c r="G960" s="5">
        <v>2299066186</v>
      </c>
      <c r="H960" s="4" t="s">
        <v>3068</v>
      </c>
      <c r="I960" s="4" t="s">
        <v>2326</v>
      </c>
      <c r="J960" s="4" t="s">
        <v>2608</v>
      </c>
      <c r="K960" s="4" t="s">
        <v>3069</v>
      </c>
      <c r="L960" s="5">
        <v>19001</v>
      </c>
    </row>
    <row r="961" spans="1:12" x14ac:dyDescent="0.25">
      <c r="A961" s="3" t="s">
        <v>1057</v>
      </c>
      <c r="B961" s="4" t="s">
        <v>2166</v>
      </c>
      <c r="C961" s="4" t="s">
        <v>14</v>
      </c>
      <c r="D961" s="4" t="s">
        <v>15</v>
      </c>
      <c r="E961" s="5" t="str">
        <f>"9521334"</f>
        <v>9521334</v>
      </c>
      <c r="F961" s="3" t="s">
        <v>3070</v>
      </c>
      <c r="G961" s="5">
        <v>2106622033</v>
      </c>
      <c r="H961" s="4" t="s">
        <v>3071</v>
      </c>
      <c r="I961" s="4" t="s">
        <v>2183</v>
      </c>
      <c r="J961" s="4" t="s">
        <v>2184</v>
      </c>
      <c r="K961" s="4" t="s">
        <v>3072</v>
      </c>
      <c r="L961" s="5">
        <v>19400</v>
      </c>
    </row>
    <row r="962" spans="1:12" x14ac:dyDescent="0.25">
      <c r="A962" s="3" t="s">
        <v>1057</v>
      </c>
      <c r="B962" s="4" t="s">
        <v>2166</v>
      </c>
      <c r="C962" s="4" t="s">
        <v>14</v>
      </c>
      <c r="D962" s="4" t="s">
        <v>15</v>
      </c>
      <c r="E962" s="5" t="str">
        <f>"9521408"</f>
        <v>9521408</v>
      </c>
      <c r="F962" s="3" t="s">
        <v>3073</v>
      </c>
      <c r="G962" s="5">
        <v>2299071812</v>
      </c>
      <c r="H962" s="4" t="s">
        <v>3074</v>
      </c>
      <c r="I962" s="4" t="s">
        <v>2321</v>
      </c>
      <c r="J962" s="4" t="s">
        <v>2507</v>
      </c>
      <c r="K962" s="4" t="s">
        <v>3075</v>
      </c>
      <c r="L962" s="5">
        <v>19023</v>
      </c>
    </row>
    <row r="963" spans="1:12" x14ac:dyDescent="0.25">
      <c r="A963" s="3" t="s">
        <v>1057</v>
      </c>
      <c r="B963" s="4" t="s">
        <v>2166</v>
      </c>
      <c r="C963" s="4" t="s">
        <v>25</v>
      </c>
      <c r="D963" s="4" t="s">
        <v>26</v>
      </c>
      <c r="E963" s="5" t="str">
        <f>"9521427"</f>
        <v>9521427</v>
      </c>
      <c r="F963" s="3" t="s">
        <v>3076</v>
      </c>
      <c r="G963" s="5">
        <v>2299066077</v>
      </c>
      <c r="H963" s="4" t="s">
        <v>3077</v>
      </c>
      <c r="I963" s="4" t="s">
        <v>2326</v>
      </c>
      <c r="J963" s="4" t="s">
        <v>2327</v>
      </c>
      <c r="K963" s="4" t="s">
        <v>3078</v>
      </c>
      <c r="L963" s="5">
        <v>19001</v>
      </c>
    </row>
    <row r="964" spans="1:12" x14ac:dyDescent="0.25">
      <c r="A964" s="3" t="s">
        <v>1057</v>
      </c>
      <c r="B964" s="4" t="s">
        <v>2166</v>
      </c>
      <c r="C964" s="4" t="s">
        <v>25</v>
      </c>
      <c r="D964" s="4" t="s">
        <v>26</v>
      </c>
      <c r="E964" s="5" t="str">
        <f>"9521502"</f>
        <v>9521502</v>
      </c>
      <c r="F964" s="3" t="s">
        <v>3079</v>
      </c>
      <c r="G964" s="5">
        <v>2102431178</v>
      </c>
      <c r="H964" s="4" t="s">
        <v>3080</v>
      </c>
      <c r="I964" s="4" t="s">
        <v>2169</v>
      </c>
      <c r="J964" s="4" t="s">
        <v>2677</v>
      </c>
      <c r="K964" s="4" t="s">
        <v>3081</v>
      </c>
      <c r="L964" s="5">
        <v>13676</v>
      </c>
    </row>
    <row r="965" spans="1:12" x14ac:dyDescent="0.25">
      <c r="A965" s="3" t="s">
        <v>1057</v>
      </c>
      <c r="B965" s="4" t="s">
        <v>2166</v>
      </c>
      <c r="C965" s="4" t="s">
        <v>25</v>
      </c>
      <c r="D965" s="4" t="s">
        <v>26</v>
      </c>
      <c r="E965" s="5" t="str">
        <f>"9521504"</f>
        <v>9521504</v>
      </c>
      <c r="F965" s="3" t="s">
        <v>3082</v>
      </c>
      <c r="G965" s="5">
        <v>6976344582</v>
      </c>
      <c r="H965" s="4" t="s">
        <v>3083</v>
      </c>
      <c r="I965" s="4" t="s">
        <v>2169</v>
      </c>
      <c r="J965" s="4" t="s">
        <v>2169</v>
      </c>
      <c r="K965" s="4" t="s">
        <v>3084</v>
      </c>
      <c r="L965" s="5">
        <v>13671</v>
      </c>
    </row>
    <row r="966" spans="1:12" x14ac:dyDescent="0.25">
      <c r="A966" s="3" t="s">
        <v>1057</v>
      </c>
      <c r="B966" s="4" t="s">
        <v>2166</v>
      </c>
      <c r="C966" s="4" t="s">
        <v>25</v>
      </c>
      <c r="D966" s="4" t="s">
        <v>26</v>
      </c>
      <c r="E966" s="5" t="str">
        <f>"9521578"</f>
        <v>9521578</v>
      </c>
      <c r="F966" s="3" t="s">
        <v>3085</v>
      </c>
      <c r="G966" s="5">
        <v>2299308112</v>
      </c>
      <c r="H966" s="4" t="s">
        <v>3086</v>
      </c>
      <c r="I966" s="4" t="s">
        <v>2321</v>
      </c>
      <c r="J966" s="4" t="s">
        <v>3087</v>
      </c>
      <c r="K966" s="4" t="s">
        <v>3088</v>
      </c>
      <c r="L966" s="5">
        <v>19003</v>
      </c>
    </row>
    <row r="967" spans="1:12" x14ac:dyDescent="0.25">
      <c r="A967" s="3" t="s">
        <v>1057</v>
      </c>
      <c r="B967" s="4" t="s">
        <v>2166</v>
      </c>
      <c r="C967" s="4" t="s">
        <v>25</v>
      </c>
      <c r="D967" s="4" t="s">
        <v>26</v>
      </c>
      <c r="E967" s="5" t="str">
        <f>"9521577"</f>
        <v>9521577</v>
      </c>
      <c r="F967" s="3" t="s">
        <v>3089</v>
      </c>
      <c r="G967" s="5">
        <v>2106625617</v>
      </c>
      <c r="H967" s="4" t="s">
        <v>3090</v>
      </c>
      <c r="I967" s="4" t="s">
        <v>2183</v>
      </c>
      <c r="J967" s="4" t="s">
        <v>2313</v>
      </c>
      <c r="K967" s="4" t="s">
        <v>3091</v>
      </c>
      <c r="L967" s="5">
        <v>19400</v>
      </c>
    </row>
    <row r="968" spans="1:12" x14ac:dyDescent="0.25">
      <c r="A968" s="3" t="s">
        <v>1057</v>
      </c>
      <c r="B968" s="4" t="s">
        <v>2166</v>
      </c>
      <c r="C968" s="4" t="s">
        <v>25</v>
      </c>
      <c r="D968" s="4" t="s">
        <v>26</v>
      </c>
      <c r="E968" s="5" t="str">
        <f>"9521582"</f>
        <v>9521582</v>
      </c>
      <c r="F968" s="3" t="s">
        <v>3092</v>
      </c>
      <c r="G968" s="5">
        <v>2108161683</v>
      </c>
      <c r="H968" s="4" t="s">
        <v>3093</v>
      </c>
      <c r="I968" s="4" t="s">
        <v>2452</v>
      </c>
      <c r="J968" s="4" t="s">
        <v>3094</v>
      </c>
      <c r="K968" s="4" t="s">
        <v>3095</v>
      </c>
      <c r="L968" s="5">
        <v>14568</v>
      </c>
    </row>
    <row r="969" spans="1:12" x14ac:dyDescent="0.25">
      <c r="A969" s="3" t="s">
        <v>1057</v>
      </c>
      <c r="B969" s="4" t="s">
        <v>2166</v>
      </c>
      <c r="C969" s="4" t="s">
        <v>25</v>
      </c>
      <c r="D969" s="4" t="s">
        <v>26</v>
      </c>
      <c r="E969" s="5" t="str">
        <f>"9521581"</f>
        <v>9521581</v>
      </c>
      <c r="F969" s="3" t="s">
        <v>3096</v>
      </c>
      <c r="G969" s="5">
        <v>2108004341</v>
      </c>
      <c r="H969" s="4" t="s">
        <v>3097</v>
      </c>
      <c r="I969" s="4" t="s">
        <v>2452</v>
      </c>
      <c r="J969" s="4" t="s">
        <v>3098</v>
      </c>
      <c r="K969" s="4" t="s">
        <v>3099</v>
      </c>
      <c r="L969" s="5">
        <v>14565</v>
      </c>
    </row>
    <row r="970" spans="1:12" x14ac:dyDescent="0.25">
      <c r="A970" s="3" t="s">
        <v>1057</v>
      </c>
      <c r="B970" s="4" t="s">
        <v>2166</v>
      </c>
      <c r="C970" s="4" t="s">
        <v>25</v>
      </c>
      <c r="D970" s="4" t="s">
        <v>26</v>
      </c>
      <c r="E970" s="5" t="str">
        <f>"9521505"</f>
        <v>9521505</v>
      </c>
      <c r="F970" s="3" t="s">
        <v>3100</v>
      </c>
      <c r="G970" s="5">
        <v>2106139002</v>
      </c>
      <c r="H970" s="4" t="s">
        <v>3101</v>
      </c>
      <c r="I970" s="4" t="s">
        <v>2193</v>
      </c>
      <c r="J970" s="4" t="s">
        <v>2194</v>
      </c>
      <c r="K970" s="4" t="s">
        <v>3102</v>
      </c>
      <c r="L970" s="5">
        <v>15344</v>
      </c>
    </row>
    <row r="971" spans="1:12" x14ac:dyDescent="0.25">
      <c r="A971" s="3" t="s">
        <v>1057</v>
      </c>
      <c r="B971" s="4" t="s">
        <v>2166</v>
      </c>
      <c r="C971" s="4" t="s">
        <v>25</v>
      </c>
      <c r="D971" s="4" t="s">
        <v>26</v>
      </c>
      <c r="E971" s="5" t="str">
        <f>"9521507"</f>
        <v>9521507</v>
      </c>
      <c r="F971" s="3" t="s">
        <v>3103</v>
      </c>
      <c r="G971" s="5">
        <v>2106630243</v>
      </c>
      <c r="H971" s="4" t="s">
        <v>3104</v>
      </c>
      <c r="I971" s="4" t="s">
        <v>2188</v>
      </c>
      <c r="J971" s="4" t="s">
        <v>2259</v>
      </c>
      <c r="K971" s="4" t="s">
        <v>3105</v>
      </c>
      <c r="L971" s="5">
        <v>19004</v>
      </c>
    </row>
    <row r="972" spans="1:12" x14ac:dyDescent="0.25">
      <c r="A972" s="3" t="s">
        <v>1057</v>
      </c>
      <c r="B972" s="4" t="s">
        <v>2166</v>
      </c>
      <c r="C972" s="4" t="s">
        <v>14</v>
      </c>
      <c r="D972" s="4" t="s">
        <v>15</v>
      </c>
      <c r="E972" s="5" t="str">
        <f>"9521661"</f>
        <v>9521661</v>
      </c>
      <c r="F972" s="3" t="s">
        <v>3106</v>
      </c>
      <c r="G972" s="5">
        <v>2108131567</v>
      </c>
      <c r="H972" s="4" t="s">
        <v>3107</v>
      </c>
      <c r="I972" s="4" t="s">
        <v>2452</v>
      </c>
      <c r="J972" s="4" t="s">
        <v>2702</v>
      </c>
      <c r="K972" s="4" t="s">
        <v>3108</v>
      </c>
      <c r="L972" s="5">
        <v>14572</v>
      </c>
    </row>
    <row r="973" spans="1:12" x14ac:dyDescent="0.25">
      <c r="A973" s="3" t="s">
        <v>1057</v>
      </c>
      <c r="B973" s="4" t="s">
        <v>2166</v>
      </c>
      <c r="C973" s="4" t="s">
        <v>14</v>
      </c>
      <c r="D973" s="4" t="s">
        <v>15</v>
      </c>
      <c r="E973" s="5" t="str">
        <f>"9521338"</f>
        <v>9521338</v>
      </c>
      <c r="F973" s="3" t="s">
        <v>3109</v>
      </c>
      <c r="G973" s="5">
        <v>2294306726</v>
      </c>
      <c r="H973" s="4" t="s">
        <v>3110</v>
      </c>
      <c r="I973" s="4" t="s">
        <v>2218</v>
      </c>
      <c r="J973" s="4" t="s">
        <v>2471</v>
      </c>
      <c r="K973" s="4" t="s">
        <v>3111</v>
      </c>
      <c r="L973" s="5">
        <v>19009</v>
      </c>
    </row>
    <row r="974" spans="1:12" x14ac:dyDescent="0.25">
      <c r="A974" s="3" t="s">
        <v>1057</v>
      </c>
      <c r="B974" s="4" t="s">
        <v>2166</v>
      </c>
      <c r="C974" s="4" t="s">
        <v>14</v>
      </c>
      <c r="D974" s="4" t="s">
        <v>15</v>
      </c>
      <c r="E974" s="5" t="str">
        <f>"9521711"</f>
        <v>9521711</v>
      </c>
      <c r="F974" s="3" t="s">
        <v>3112</v>
      </c>
      <c r="G974" s="5">
        <v>2106615873</v>
      </c>
      <c r="H974" s="4" t="s">
        <v>3113</v>
      </c>
      <c r="I974" s="4" t="s">
        <v>2193</v>
      </c>
      <c r="J974" s="4" t="s">
        <v>2283</v>
      </c>
      <c r="K974" s="4" t="s">
        <v>3114</v>
      </c>
      <c r="L974" s="5">
        <v>15344</v>
      </c>
    </row>
    <row r="975" spans="1:12" x14ac:dyDescent="0.25">
      <c r="A975" s="3" t="s">
        <v>1057</v>
      </c>
      <c r="B975" s="4" t="s">
        <v>2166</v>
      </c>
      <c r="C975" s="4" t="s">
        <v>14</v>
      </c>
      <c r="D975" s="4" t="s">
        <v>15</v>
      </c>
      <c r="E975" s="5" t="str">
        <f>"9521729"</f>
        <v>9521729</v>
      </c>
      <c r="F975" s="3" t="s">
        <v>3115</v>
      </c>
      <c r="G975" s="5">
        <v>2106218574</v>
      </c>
      <c r="H975" s="4" t="s">
        <v>3116</v>
      </c>
      <c r="I975" s="4" t="s">
        <v>2452</v>
      </c>
      <c r="J975" s="4" t="s">
        <v>2879</v>
      </c>
      <c r="K975" s="4" t="s">
        <v>3117</v>
      </c>
      <c r="L975" s="5">
        <v>14565</v>
      </c>
    </row>
    <row r="976" spans="1:12" x14ac:dyDescent="0.25">
      <c r="A976" s="3" t="s">
        <v>1057</v>
      </c>
      <c r="B976" s="4" t="s">
        <v>2166</v>
      </c>
      <c r="C976" s="4" t="s">
        <v>25</v>
      </c>
      <c r="D976" s="4" t="s">
        <v>26</v>
      </c>
      <c r="E976" s="5" t="str">
        <f>"9521725"</f>
        <v>9521725</v>
      </c>
      <c r="F976" s="3" t="s">
        <v>3118</v>
      </c>
      <c r="G976" s="5">
        <v>2106614662</v>
      </c>
      <c r="H976" s="4" t="s">
        <v>3119</v>
      </c>
      <c r="I976" s="4" t="s">
        <v>2193</v>
      </c>
      <c r="J976" s="4" t="s">
        <v>2283</v>
      </c>
      <c r="K976" s="4" t="s">
        <v>3120</v>
      </c>
      <c r="L976" s="5">
        <v>15344</v>
      </c>
    </row>
    <row r="977" spans="1:12" x14ac:dyDescent="0.25">
      <c r="A977" s="3" t="s">
        <v>1057</v>
      </c>
      <c r="B977" s="4" t="s">
        <v>2166</v>
      </c>
      <c r="C977" s="4" t="s">
        <v>25</v>
      </c>
      <c r="D977" s="4" t="s">
        <v>26</v>
      </c>
      <c r="E977" s="5" t="str">
        <f>"9521019"</f>
        <v>9521019</v>
      </c>
      <c r="F977" s="3" t="s">
        <v>3121</v>
      </c>
      <c r="G977" s="5">
        <v>2294152581</v>
      </c>
      <c r="H977" s="4" t="s">
        <v>3122</v>
      </c>
      <c r="I977" s="4" t="s">
        <v>2188</v>
      </c>
      <c r="J977" s="4" t="s">
        <v>3123</v>
      </c>
      <c r="K977" s="4" t="s">
        <v>3124</v>
      </c>
      <c r="L977" s="5">
        <v>19016</v>
      </c>
    </row>
    <row r="978" spans="1:12" x14ac:dyDescent="0.25">
      <c r="A978" s="3" t="s">
        <v>1057</v>
      </c>
      <c r="B978" s="4" t="s">
        <v>3125</v>
      </c>
      <c r="C978" s="4" t="s">
        <v>25</v>
      </c>
      <c r="D978" s="4" t="s">
        <v>26</v>
      </c>
      <c r="E978" s="5" t="str">
        <f>"9050877"</f>
        <v>9050877</v>
      </c>
      <c r="F978" s="3" t="s">
        <v>3126</v>
      </c>
      <c r="G978" s="5">
        <v>2106827574</v>
      </c>
      <c r="H978" s="4" t="s">
        <v>3127</v>
      </c>
      <c r="I978" s="4" t="s">
        <v>3128</v>
      </c>
      <c r="J978" s="4" t="s">
        <v>3129</v>
      </c>
      <c r="K978" s="4" t="s">
        <v>3130</v>
      </c>
      <c r="L978" s="5">
        <v>15235</v>
      </c>
    </row>
    <row r="979" spans="1:12" x14ac:dyDescent="0.25">
      <c r="A979" s="3" t="s">
        <v>1057</v>
      </c>
      <c r="B979" s="4" t="s">
        <v>3125</v>
      </c>
      <c r="C979" s="4" t="s">
        <v>25</v>
      </c>
      <c r="D979" s="4" t="s">
        <v>26</v>
      </c>
      <c r="E979" s="5" t="str">
        <f>"9050699"</f>
        <v>9050699</v>
      </c>
      <c r="F979" s="3" t="s">
        <v>3131</v>
      </c>
      <c r="G979" s="5">
        <v>2106710552</v>
      </c>
      <c r="H979" s="4" t="s">
        <v>3132</v>
      </c>
      <c r="I979" s="4" t="s">
        <v>3133</v>
      </c>
      <c r="J979" s="4" t="s">
        <v>3134</v>
      </c>
      <c r="K979" s="4" t="s">
        <v>3135</v>
      </c>
      <c r="L979" s="5">
        <v>15452</v>
      </c>
    </row>
    <row r="980" spans="1:12" x14ac:dyDescent="0.25">
      <c r="A980" s="3" t="s">
        <v>1057</v>
      </c>
      <c r="B980" s="4" t="s">
        <v>3125</v>
      </c>
      <c r="C980" s="4" t="s">
        <v>25</v>
      </c>
      <c r="D980" s="4" t="s">
        <v>26</v>
      </c>
      <c r="E980" s="5" t="str">
        <f>"9051208"</f>
        <v>9051208</v>
      </c>
      <c r="F980" s="3" t="s">
        <v>3136</v>
      </c>
      <c r="G980" s="5">
        <v>2106742291</v>
      </c>
      <c r="H980" s="4" t="s">
        <v>3137</v>
      </c>
      <c r="I980" s="4" t="s">
        <v>3133</v>
      </c>
      <c r="J980" s="4" t="s">
        <v>3138</v>
      </c>
      <c r="K980" s="4" t="s">
        <v>3139</v>
      </c>
      <c r="L980" s="5">
        <v>11525</v>
      </c>
    </row>
    <row r="981" spans="1:12" x14ac:dyDescent="0.25">
      <c r="A981" s="3" t="s">
        <v>1057</v>
      </c>
      <c r="B981" s="4" t="s">
        <v>3125</v>
      </c>
      <c r="C981" s="4" t="s">
        <v>25</v>
      </c>
      <c r="D981" s="4" t="s">
        <v>26</v>
      </c>
      <c r="E981" s="5" t="str">
        <f>"9051901"</f>
        <v>9051901</v>
      </c>
      <c r="F981" s="3" t="s">
        <v>3140</v>
      </c>
      <c r="G981" s="5">
        <v>2106008867</v>
      </c>
      <c r="H981" s="4" t="s">
        <v>3141</v>
      </c>
      <c r="I981" s="4" t="s">
        <v>3128</v>
      </c>
      <c r="J981" s="4" t="s">
        <v>3129</v>
      </c>
      <c r="K981" s="4" t="s">
        <v>3142</v>
      </c>
      <c r="L981" s="5">
        <v>15235</v>
      </c>
    </row>
    <row r="982" spans="1:12" x14ac:dyDescent="0.25">
      <c r="A982" s="3" t="s">
        <v>1057</v>
      </c>
      <c r="B982" s="4" t="s">
        <v>3125</v>
      </c>
      <c r="C982" s="4" t="s">
        <v>25</v>
      </c>
      <c r="D982" s="4" t="s">
        <v>26</v>
      </c>
      <c r="E982" s="5" t="str">
        <f>"9050990"</f>
        <v>9050990</v>
      </c>
      <c r="F982" s="3" t="s">
        <v>3143</v>
      </c>
      <c r="G982" s="5">
        <v>2106000745</v>
      </c>
      <c r="H982" s="4" t="s">
        <v>3144</v>
      </c>
      <c r="I982" s="4" t="s">
        <v>3145</v>
      </c>
      <c r="J982" s="4" t="s">
        <v>3146</v>
      </c>
      <c r="K982" s="4" t="s">
        <v>3147</v>
      </c>
      <c r="L982" s="5">
        <v>15343</v>
      </c>
    </row>
    <row r="983" spans="1:12" x14ac:dyDescent="0.25">
      <c r="A983" s="3" t="s">
        <v>1057</v>
      </c>
      <c r="B983" s="4" t="s">
        <v>3125</v>
      </c>
      <c r="C983" s="4" t="s">
        <v>14</v>
      </c>
      <c r="D983" s="4" t="s">
        <v>15</v>
      </c>
      <c r="E983" s="5" t="str">
        <f>"9050033"</f>
        <v>9050033</v>
      </c>
      <c r="F983" s="3" t="s">
        <v>3148</v>
      </c>
      <c r="G983" s="5">
        <v>2106196248</v>
      </c>
      <c r="H983" s="4" t="s">
        <v>3149</v>
      </c>
      <c r="I983" s="4" t="s">
        <v>3150</v>
      </c>
      <c r="J983" s="4" t="s">
        <v>3151</v>
      </c>
      <c r="K983" s="4" t="s">
        <v>3152</v>
      </c>
      <c r="L983" s="5">
        <v>15125</v>
      </c>
    </row>
    <row r="984" spans="1:12" x14ac:dyDescent="0.25">
      <c r="A984" s="3" t="s">
        <v>1057</v>
      </c>
      <c r="B984" s="4" t="s">
        <v>3125</v>
      </c>
      <c r="C984" s="4" t="s">
        <v>25</v>
      </c>
      <c r="D984" s="4" t="s">
        <v>26</v>
      </c>
      <c r="E984" s="5" t="str">
        <f>"9050029"</f>
        <v>9050029</v>
      </c>
      <c r="F984" s="3" t="s">
        <v>3153</v>
      </c>
      <c r="G984" s="5">
        <v>2106824507</v>
      </c>
      <c r="H984" s="4" t="s">
        <v>3154</v>
      </c>
      <c r="I984" s="4" t="s">
        <v>3150</v>
      </c>
      <c r="J984" s="4" t="s">
        <v>3151</v>
      </c>
      <c r="K984" s="4" t="s">
        <v>3155</v>
      </c>
      <c r="L984" s="5">
        <v>15123</v>
      </c>
    </row>
    <row r="985" spans="1:12" x14ac:dyDescent="0.25">
      <c r="A985" s="3" t="s">
        <v>1057</v>
      </c>
      <c r="B985" s="4" t="s">
        <v>3125</v>
      </c>
      <c r="C985" s="4" t="s">
        <v>14</v>
      </c>
      <c r="D985" s="4" t="s">
        <v>15</v>
      </c>
      <c r="E985" s="5" t="str">
        <f>"9050034"</f>
        <v>9050034</v>
      </c>
      <c r="F985" s="3" t="s">
        <v>3156</v>
      </c>
      <c r="G985" s="5">
        <v>2106197707</v>
      </c>
      <c r="H985" s="4" t="s">
        <v>3157</v>
      </c>
      <c r="I985" s="4" t="s">
        <v>3150</v>
      </c>
      <c r="J985" s="4" t="s">
        <v>3151</v>
      </c>
      <c r="K985" s="4" t="s">
        <v>3158</v>
      </c>
      <c r="L985" s="5">
        <v>15124</v>
      </c>
    </row>
    <row r="986" spans="1:12" x14ac:dyDescent="0.25">
      <c r="A986" s="3" t="s">
        <v>1057</v>
      </c>
      <c r="B986" s="4" t="s">
        <v>3125</v>
      </c>
      <c r="C986" s="4" t="s">
        <v>14</v>
      </c>
      <c r="D986" s="4" t="s">
        <v>15</v>
      </c>
      <c r="E986" s="5" t="str">
        <f>"9051465"</f>
        <v>9051465</v>
      </c>
      <c r="F986" s="3" t="s">
        <v>3159</v>
      </c>
      <c r="G986" s="5">
        <v>2108066515</v>
      </c>
      <c r="H986" s="4" t="s">
        <v>3160</v>
      </c>
      <c r="I986" s="4" t="s">
        <v>3150</v>
      </c>
      <c r="J986" s="4" t="s">
        <v>3151</v>
      </c>
      <c r="K986" s="4" t="s">
        <v>3161</v>
      </c>
      <c r="L986" s="5">
        <v>15124</v>
      </c>
    </row>
    <row r="987" spans="1:12" x14ac:dyDescent="0.25">
      <c r="A987" s="3" t="s">
        <v>1057</v>
      </c>
      <c r="B987" s="4" t="s">
        <v>3125</v>
      </c>
      <c r="C987" s="4" t="s">
        <v>14</v>
      </c>
      <c r="D987" s="4" t="s">
        <v>15</v>
      </c>
      <c r="E987" s="5" t="str">
        <f>"9050032"</f>
        <v>9050032</v>
      </c>
      <c r="F987" s="3" t="s">
        <v>3162</v>
      </c>
      <c r="G987" s="5">
        <v>2108020788</v>
      </c>
      <c r="H987" s="4" t="s">
        <v>3163</v>
      </c>
      <c r="I987" s="4" t="s">
        <v>3150</v>
      </c>
      <c r="J987" s="4" t="s">
        <v>3151</v>
      </c>
      <c r="K987" s="4" t="s">
        <v>3164</v>
      </c>
      <c r="L987" s="5">
        <v>15125</v>
      </c>
    </row>
    <row r="988" spans="1:12" x14ac:dyDescent="0.25">
      <c r="A988" s="3" t="s">
        <v>1057</v>
      </c>
      <c r="B988" s="4" t="s">
        <v>3125</v>
      </c>
      <c r="C988" s="4" t="s">
        <v>25</v>
      </c>
      <c r="D988" s="4" t="s">
        <v>26</v>
      </c>
      <c r="E988" s="5" t="str">
        <f>"9051539"</f>
        <v>9051539</v>
      </c>
      <c r="F988" s="3" t="s">
        <v>3165</v>
      </c>
      <c r="G988" s="5">
        <v>2106006149</v>
      </c>
      <c r="H988" s="4" t="s">
        <v>3166</v>
      </c>
      <c r="I988" s="4" t="s">
        <v>3145</v>
      </c>
      <c r="J988" s="4" t="s">
        <v>3167</v>
      </c>
      <c r="K988" s="4" t="s">
        <v>3168</v>
      </c>
      <c r="L988" s="5">
        <v>15342</v>
      </c>
    </row>
    <row r="989" spans="1:12" x14ac:dyDescent="0.25">
      <c r="A989" s="3" t="s">
        <v>1057</v>
      </c>
      <c r="B989" s="4" t="s">
        <v>3125</v>
      </c>
      <c r="C989" s="4" t="s">
        <v>14</v>
      </c>
      <c r="D989" s="4" t="s">
        <v>15</v>
      </c>
      <c r="E989" s="5" t="str">
        <f>"9050055"</f>
        <v>9050055</v>
      </c>
      <c r="F989" s="3" t="s">
        <v>3169</v>
      </c>
      <c r="G989" s="5">
        <v>2108041260</v>
      </c>
      <c r="H989" s="4" t="s">
        <v>3170</v>
      </c>
      <c r="I989" s="4" t="s">
        <v>3171</v>
      </c>
      <c r="J989" s="4" t="s">
        <v>3172</v>
      </c>
      <c r="K989" s="4" t="s">
        <v>3173</v>
      </c>
      <c r="L989" s="5">
        <v>15127</v>
      </c>
    </row>
    <row r="990" spans="1:12" x14ac:dyDescent="0.25">
      <c r="A990" s="3" t="s">
        <v>1057</v>
      </c>
      <c r="B990" s="4" t="s">
        <v>3125</v>
      </c>
      <c r="C990" s="4" t="s">
        <v>14</v>
      </c>
      <c r="D990" s="4" t="s">
        <v>15</v>
      </c>
      <c r="E990" s="5" t="str">
        <f>"9050036"</f>
        <v>9050036</v>
      </c>
      <c r="F990" s="3" t="s">
        <v>3174</v>
      </c>
      <c r="G990" s="5">
        <v>2106814830</v>
      </c>
      <c r="H990" s="4" t="s">
        <v>3175</v>
      </c>
      <c r="I990" s="4" t="s">
        <v>3150</v>
      </c>
      <c r="J990" s="4" t="s">
        <v>3151</v>
      </c>
      <c r="K990" s="4" t="s">
        <v>3176</v>
      </c>
      <c r="L990" s="5">
        <v>15123</v>
      </c>
    </row>
    <row r="991" spans="1:12" x14ac:dyDescent="0.25">
      <c r="A991" s="3" t="s">
        <v>1057</v>
      </c>
      <c r="B991" s="4" t="s">
        <v>3125</v>
      </c>
      <c r="C991" s="4" t="s">
        <v>14</v>
      </c>
      <c r="D991" s="4" t="s">
        <v>15</v>
      </c>
      <c r="E991" s="5" t="str">
        <f>"9051861"</f>
        <v>9051861</v>
      </c>
      <c r="F991" s="3" t="s">
        <v>3177</v>
      </c>
      <c r="G991" s="5">
        <v>2106850760</v>
      </c>
      <c r="H991" s="4" t="s">
        <v>3178</v>
      </c>
      <c r="I991" s="4" t="s">
        <v>3150</v>
      </c>
      <c r="J991" s="4" t="s">
        <v>3151</v>
      </c>
      <c r="K991" s="4" t="s">
        <v>3179</v>
      </c>
      <c r="L991" s="5">
        <v>15125</v>
      </c>
    </row>
    <row r="992" spans="1:12" x14ac:dyDescent="0.25">
      <c r="A992" s="3" t="s">
        <v>1057</v>
      </c>
      <c r="B992" s="4" t="s">
        <v>3125</v>
      </c>
      <c r="C992" s="4" t="s">
        <v>14</v>
      </c>
      <c r="D992" s="4" t="s">
        <v>15</v>
      </c>
      <c r="E992" s="5" t="str">
        <f>"9051114"</f>
        <v>9051114</v>
      </c>
      <c r="F992" s="3" t="s">
        <v>3180</v>
      </c>
      <c r="G992" s="5">
        <v>2108047555</v>
      </c>
      <c r="H992" s="4" t="s">
        <v>3181</v>
      </c>
      <c r="I992" s="4" t="s">
        <v>3171</v>
      </c>
      <c r="J992" s="4" t="s">
        <v>3172</v>
      </c>
      <c r="K992" s="4" t="s">
        <v>3182</v>
      </c>
      <c r="L992" s="5">
        <v>15127</v>
      </c>
    </row>
    <row r="993" spans="1:12" x14ac:dyDescent="0.25">
      <c r="A993" s="3" t="s">
        <v>1057</v>
      </c>
      <c r="B993" s="4" t="s">
        <v>3125</v>
      </c>
      <c r="C993" s="4" t="s">
        <v>14</v>
      </c>
      <c r="D993" s="4" t="s">
        <v>15</v>
      </c>
      <c r="E993" s="5" t="str">
        <f>"9050035"</f>
        <v>9050035</v>
      </c>
      <c r="F993" s="3" t="s">
        <v>3183</v>
      </c>
      <c r="G993" s="5">
        <v>2106818264</v>
      </c>
      <c r="H993" s="4" t="s">
        <v>3184</v>
      </c>
      <c r="I993" s="4" t="s">
        <v>3150</v>
      </c>
      <c r="J993" s="4" t="s">
        <v>3151</v>
      </c>
      <c r="K993" s="4" t="s">
        <v>3185</v>
      </c>
      <c r="L993" s="5">
        <v>15125</v>
      </c>
    </row>
    <row r="994" spans="1:12" x14ac:dyDescent="0.25">
      <c r="A994" s="3" t="s">
        <v>1057</v>
      </c>
      <c r="B994" s="4" t="s">
        <v>3125</v>
      </c>
      <c r="C994" s="4" t="s">
        <v>14</v>
      </c>
      <c r="D994" s="4" t="s">
        <v>15</v>
      </c>
      <c r="E994" s="5" t="str">
        <f>"9051117"</f>
        <v>9051117</v>
      </c>
      <c r="F994" s="3" t="s">
        <v>3186</v>
      </c>
      <c r="G994" s="5">
        <v>2102826333</v>
      </c>
      <c r="H994" s="4" t="s">
        <v>3187</v>
      </c>
      <c r="I994" s="4" t="s">
        <v>3188</v>
      </c>
      <c r="J994" s="4" t="s">
        <v>3189</v>
      </c>
      <c r="K994" s="4" t="s">
        <v>3190</v>
      </c>
      <c r="L994" s="5">
        <v>14451</v>
      </c>
    </row>
    <row r="995" spans="1:12" x14ac:dyDescent="0.25">
      <c r="A995" s="3" t="s">
        <v>1057</v>
      </c>
      <c r="B995" s="4" t="s">
        <v>3125</v>
      </c>
      <c r="C995" s="4" t="s">
        <v>14</v>
      </c>
      <c r="D995" s="4" t="s">
        <v>15</v>
      </c>
      <c r="E995" s="5" t="str">
        <f>"9051116"</f>
        <v>9051116</v>
      </c>
      <c r="F995" s="3" t="s">
        <v>3191</v>
      </c>
      <c r="G995" s="5">
        <v>2102753868</v>
      </c>
      <c r="H995" s="4" t="s">
        <v>3192</v>
      </c>
      <c r="I995" s="4" t="s">
        <v>3193</v>
      </c>
      <c r="J995" s="4" t="s">
        <v>3194</v>
      </c>
      <c r="K995" s="4" t="s">
        <v>3195</v>
      </c>
      <c r="L995" s="5">
        <v>14121</v>
      </c>
    </row>
    <row r="996" spans="1:12" x14ac:dyDescent="0.25">
      <c r="A996" s="3" t="s">
        <v>1057</v>
      </c>
      <c r="B996" s="4" t="s">
        <v>3125</v>
      </c>
      <c r="C996" s="4" t="s">
        <v>14</v>
      </c>
      <c r="D996" s="4" t="s">
        <v>15</v>
      </c>
      <c r="E996" s="5" t="str">
        <f>"9050956"</f>
        <v>9050956</v>
      </c>
      <c r="F996" s="3" t="s">
        <v>3196</v>
      </c>
      <c r="G996" s="5">
        <v>2108024452</v>
      </c>
      <c r="H996" s="4" t="s">
        <v>3197</v>
      </c>
      <c r="I996" s="4" t="s">
        <v>3150</v>
      </c>
      <c r="J996" s="4" t="s">
        <v>3151</v>
      </c>
      <c r="K996" s="4" t="s">
        <v>3164</v>
      </c>
      <c r="L996" s="5">
        <v>15125</v>
      </c>
    </row>
    <row r="997" spans="1:12" x14ac:dyDescent="0.25">
      <c r="A997" s="3" t="s">
        <v>1057</v>
      </c>
      <c r="B997" s="4" t="s">
        <v>3125</v>
      </c>
      <c r="C997" s="4" t="s">
        <v>25</v>
      </c>
      <c r="D997" s="4" t="s">
        <v>26</v>
      </c>
      <c r="E997" s="5" t="str">
        <f>"9050704"</f>
        <v>9050704</v>
      </c>
      <c r="F997" s="3" t="s">
        <v>3198</v>
      </c>
      <c r="G997" s="5">
        <v>2108069596</v>
      </c>
      <c r="H997" s="4" t="s">
        <v>3199</v>
      </c>
      <c r="I997" s="4" t="s">
        <v>3150</v>
      </c>
      <c r="J997" s="4" t="s">
        <v>3151</v>
      </c>
      <c r="K997" s="4" t="s">
        <v>3164</v>
      </c>
      <c r="L997" s="5">
        <v>15125</v>
      </c>
    </row>
    <row r="998" spans="1:12" x14ac:dyDescent="0.25">
      <c r="A998" s="3" t="s">
        <v>1057</v>
      </c>
      <c r="B998" s="4" t="s">
        <v>3125</v>
      </c>
      <c r="C998" s="4" t="s">
        <v>14</v>
      </c>
      <c r="D998" s="4" t="s">
        <v>15</v>
      </c>
      <c r="E998" s="5" t="str">
        <f>"9050044"</f>
        <v>9050044</v>
      </c>
      <c r="F998" s="3" t="s">
        <v>3200</v>
      </c>
      <c r="G998" s="5">
        <v>2108019857</v>
      </c>
      <c r="H998" s="4" t="s">
        <v>3201</v>
      </c>
      <c r="I998" s="4" t="s">
        <v>3202</v>
      </c>
      <c r="J998" s="4" t="s">
        <v>3203</v>
      </c>
      <c r="K998" s="4" t="s">
        <v>3204</v>
      </c>
      <c r="L998" s="5">
        <v>14561</v>
      </c>
    </row>
    <row r="999" spans="1:12" ht="30" x14ac:dyDescent="0.25">
      <c r="A999" s="3" t="s">
        <v>1057</v>
      </c>
      <c r="B999" s="4" t="s">
        <v>3125</v>
      </c>
      <c r="C999" s="4" t="s">
        <v>14</v>
      </c>
      <c r="D999" s="4" t="s">
        <v>15</v>
      </c>
      <c r="E999" s="5" t="str">
        <f>"9050954"</f>
        <v>9050954</v>
      </c>
      <c r="F999" s="3" t="s">
        <v>3205</v>
      </c>
      <c r="G999" s="5">
        <v>2106523215</v>
      </c>
      <c r="H999" s="4" t="s">
        <v>3206</v>
      </c>
      <c r="I999" s="4" t="s">
        <v>3207</v>
      </c>
      <c r="J999" s="4" t="s">
        <v>3208</v>
      </c>
      <c r="K999" s="4" t="s">
        <v>3209</v>
      </c>
      <c r="L999" s="5">
        <v>15562</v>
      </c>
    </row>
    <row r="1000" spans="1:12" x14ac:dyDescent="0.25">
      <c r="A1000" s="3" t="s">
        <v>1057</v>
      </c>
      <c r="B1000" s="4" t="s">
        <v>3125</v>
      </c>
      <c r="C1000" s="4" t="s">
        <v>14</v>
      </c>
      <c r="D1000" s="4" t="s">
        <v>15</v>
      </c>
      <c r="E1000" s="5" t="str">
        <f>"9050053"</f>
        <v>9050053</v>
      </c>
      <c r="F1000" s="3" t="s">
        <v>3210</v>
      </c>
      <c r="G1000" s="5">
        <v>2108068520</v>
      </c>
      <c r="H1000" s="4" t="s">
        <v>3211</v>
      </c>
      <c r="I1000" s="4" t="s">
        <v>3212</v>
      </c>
      <c r="J1000" s="4" t="s">
        <v>3213</v>
      </c>
      <c r="K1000" s="4" t="s">
        <v>3214</v>
      </c>
      <c r="L1000" s="5">
        <v>15121</v>
      </c>
    </row>
    <row r="1001" spans="1:12" x14ac:dyDescent="0.25">
      <c r="A1001" s="3" t="s">
        <v>1057</v>
      </c>
      <c r="B1001" s="4" t="s">
        <v>3125</v>
      </c>
      <c r="C1001" s="4" t="s">
        <v>25</v>
      </c>
      <c r="D1001" s="4" t="s">
        <v>26</v>
      </c>
      <c r="E1001" s="5" t="str">
        <f>"9050598"</f>
        <v>9050598</v>
      </c>
      <c r="F1001" s="3" t="s">
        <v>3215</v>
      </c>
      <c r="G1001" s="5">
        <v>2106390286</v>
      </c>
      <c r="H1001" s="4" t="s">
        <v>3216</v>
      </c>
      <c r="I1001" s="4" t="s">
        <v>3145</v>
      </c>
      <c r="J1001" s="4" t="s">
        <v>3167</v>
      </c>
      <c r="K1001" s="4" t="s">
        <v>3217</v>
      </c>
      <c r="L1001" s="5">
        <v>15343</v>
      </c>
    </row>
    <row r="1002" spans="1:12" x14ac:dyDescent="0.25">
      <c r="A1002" s="3" t="s">
        <v>1057</v>
      </c>
      <c r="B1002" s="4" t="s">
        <v>3125</v>
      </c>
      <c r="C1002" s="4" t="s">
        <v>25</v>
      </c>
      <c r="D1002" s="4" t="s">
        <v>26</v>
      </c>
      <c r="E1002" s="5" t="str">
        <f>"9050875"</f>
        <v>9050875</v>
      </c>
      <c r="F1002" s="3" t="s">
        <v>3218</v>
      </c>
      <c r="G1002" s="5">
        <v>2106532480</v>
      </c>
      <c r="H1002" s="4" t="s">
        <v>3219</v>
      </c>
      <c r="I1002" s="4" t="s">
        <v>3207</v>
      </c>
      <c r="J1002" s="4" t="s">
        <v>3208</v>
      </c>
      <c r="K1002" s="4" t="s">
        <v>3220</v>
      </c>
      <c r="L1002" s="5">
        <v>15562</v>
      </c>
    </row>
    <row r="1003" spans="1:12" x14ac:dyDescent="0.25">
      <c r="A1003" s="3" t="s">
        <v>1057</v>
      </c>
      <c r="B1003" s="4" t="s">
        <v>3125</v>
      </c>
      <c r="C1003" s="4" t="s">
        <v>25</v>
      </c>
      <c r="D1003" s="4" t="s">
        <v>26</v>
      </c>
      <c r="E1003" s="5" t="str">
        <f>"9051403"</f>
        <v>9051403</v>
      </c>
      <c r="F1003" s="3" t="s">
        <v>3221</v>
      </c>
      <c r="G1003" s="5">
        <v>2106533325</v>
      </c>
      <c r="H1003" s="4" t="s">
        <v>3222</v>
      </c>
      <c r="I1003" s="4" t="s">
        <v>3207</v>
      </c>
      <c r="J1003" s="4" t="s">
        <v>3208</v>
      </c>
      <c r="K1003" s="4" t="s">
        <v>3223</v>
      </c>
      <c r="L1003" s="5">
        <v>15561</v>
      </c>
    </row>
    <row r="1004" spans="1:12" x14ac:dyDescent="0.25">
      <c r="A1004" s="3" t="s">
        <v>1057</v>
      </c>
      <c r="B1004" s="4" t="s">
        <v>3125</v>
      </c>
      <c r="C1004" s="4" t="s">
        <v>14</v>
      </c>
      <c r="D1004" s="4" t="s">
        <v>15</v>
      </c>
      <c r="E1004" s="5" t="str">
        <f>"9051535"</f>
        <v>9051535</v>
      </c>
      <c r="F1004" s="3" t="s">
        <v>3224</v>
      </c>
      <c r="G1004" s="5">
        <v>2106526765</v>
      </c>
      <c r="H1004" s="4" t="s">
        <v>3225</v>
      </c>
      <c r="I1004" s="4" t="s">
        <v>3207</v>
      </c>
      <c r="J1004" s="4" t="s">
        <v>3208</v>
      </c>
      <c r="K1004" s="4" t="s">
        <v>3226</v>
      </c>
      <c r="L1004" s="5">
        <v>15561</v>
      </c>
    </row>
    <row r="1005" spans="1:12" x14ac:dyDescent="0.25">
      <c r="A1005" s="3" t="s">
        <v>1057</v>
      </c>
      <c r="B1005" s="4" t="s">
        <v>3125</v>
      </c>
      <c r="C1005" s="4" t="s">
        <v>14</v>
      </c>
      <c r="D1005" s="4" t="s">
        <v>15</v>
      </c>
      <c r="E1005" s="5" t="str">
        <f>"9050930"</f>
        <v>9050930</v>
      </c>
      <c r="F1005" s="3" t="s">
        <v>3227</v>
      </c>
      <c r="G1005" s="5">
        <v>2108018256</v>
      </c>
      <c r="H1005" s="4" t="s">
        <v>3228</v>
      </c>
      <c r="I1005" s="4" t="s">
        <v>3202</v>
      </c>
      <c r="J1005" s="4" t="s">
        <v>3203</v>
      </c>
      <c r="K1005" s="4" t="s">
        <v>3229</v>
      </c>
      <c r="L1005" s="5">
        <v>14562</v>
      </c>
    </row>
    <row r="1006" spans="1:12" x14ac:dyDescent="0.25">
      <c r="A1006" s="3" t="s">
        <v>1057</v>
      </c>
      <c r="B1006" s="4" t="s">
        <v>3125</v>
      </c>
      <c r="C1006" s="4" t="s">
        <v>25</v>
      </c>
      <c r="D1006" s="4" t="s">
        <v>26</v>
      </c>
      <c r="E1006" s="5" t="str">
        <f>"9050873"</f>
        <v>9050873</v>
      </c>
      <c r="F1006" s="3" t="s">
        <v>3230</v>
      </c>
      <c r="G1006" s="5">
        <v>2106399563</v>
      </c>
      <c r="H1006" s="4" t="s">
        <v>3231</v>
      </c>
      <c r="I1006" s="4" t="s">
        <v>3145</v>
      </c>
      <c r="J1006" s="4" t="s">
        <v>3167</v>
      </c>
      <c r="K1006" s="4" t="s">
        <v>3232</v>
      </c>
      <c r="L1006" s="5">
        <v>15341</v>
      </c>
    </row>
    <row r="1007" spans="1:12" x14ac:dyDescent="0.25">
      <c r="A1007" s="3" t="s">
        <v>1057</v>
      </c>
      <c r="B1007" s="4" t="s">
        <v>3125</v>
      </c>
      <c r="C1007" s="4" t="s">
        <v>25</v>
      </c>
      <c r="D1007" s="4" t="s">
        <v>26</v>
      </c>
      <c r="E1007" s="5" t="str">
        <f>"9051740"</f>
        <v>9051740</v>
      </c>
      <c r="F1007" s="3" t="s">
        <v>3233</v>
      </c>
      <c r="G1007" s="5">
        <v>2106010133</v>
      </c>
      <c r="H1007" s="4" t="s">
        <v>3234</v>
      </c>
      <c r="I1007" s="4" t="s">
        <v>3145</v>
      </c>
      <c r="J1007" s="4" t="s">
        <v>3167</v>
      </c>
      <c r="K1007" s="4" t="s">
        <v>3235</v>
      </c>
      <c r="L1007" s="5">
        <v>15343</v>
      </c>
    </row>
    <row r="1008" spans="1:12" x14ac:dyDescent="0.25">
      <c r="A1008" s="3" t="s">
        <v>1057</v>
      </c>
      <c r="B1008" s="4" t="s">
        <v>3125</v>
      </c>
      <c r="C1008" s="4" t="s">
        <v>25</v>
      </c>
      <c r="D1008" s="4" t="s">
        <v>26</v>
      </c>
      <c r="E1008" s="5" t="str">
        <f>"9051538"</f>
        <v>9051538</v>
      </c>
      <c r="F1008" s="3" t="s">
        <v>3236</v>
      </c>
      <c r="G1008" s="5">
        <v>2106015175</v>
      </c>
      <c r="H1008" s="4" t="s">
        <v>3237</v>
      </c>
      <c r="I1008" s="4" t="s">
        <v>3145</v>
      </c>
      <c r="J1008" s="4" t="s">
        <v>3167</v>
      </c>
      <c r="K1008" s="4" t="s">
        <v>3238</v>
      </c>
      <c r="L1008" s="5">
        <v>15345</v>
      </c>
    </row>
    <row r="1009" spans="1:12" x14ac:dyDescent="0.25">
      <c r="A1009" s="3" t="s">
        <v>1057</v>
      </c>
      <c r="B1009" s="4" t="s">
        <v>3125</v>
      </c>
      <c r="C1009" s="4" t="s">
        <v>25</v>
      </c>
      <c r="D1009" s="4" t="s">
        <v>26</v>
      </c>
      <c r="E1009" s="5" t="str">
        <f>"9051207"</f>
        <v>9051207</v>
      </c>
      <c r="F1009" s="3" t="s">
        <v>3239</v>
      </c>
      <c r="G1009" s="5">
        <v>2106017750</v>
      </c>
      <c r="H1009" s="4" t="s">
        <v>3240</v>
      </c>
      <c r="I1009" s="4" t="s">
        <v>3145</v>
      </c>
      <c r="J1009" s="4" t="s">
        <v>3167</v>
      </c>
      <c r="K1009" s="4" t="s">
        <v>3241</v>
      </c>
      <c r="L1009" s="5">
        <v>15343</v>
      </c>
    </row>
    <row r="1010" spans="1:12" x14ac:dyDescent="0.25">
      <c r="A1010" s="3" t="s">
        <v>1057</v>
      </c>
      <c r="B1010" s="4" t="s">
        <v>3125</v>
      </c>
      <c r="C1010" s="4" t="s">
        <v>14</v>
      </c>
      <c r="D1010" s="4" t="s">
        <v>15</v>
      </c>
      <c r="E1010" s="5" t="str">
        <f>"9051363"</f>
        <v>9051363</v>
      </c>
      <c r="F1010" s="3" t="s">
        <v>3242</v>
      </c>
      <c r="G1010" s="5">
        <v>2106014032</v>
      </c>
      <c r="H1010" s="4" t="s">
        <v>3243</v>
      </c>
      <c r="I1010" s="4" t="s">
        <v>3145</v>
      </c>
      <c r="J1010" s="4" t="s">
        <v>3244</v>
      </c>
      <c r="K1010" s="4" t="s">
        <v>3245</v>
      </c>
      <c r="L1010" s="5">
        <v>15342</v>
      </c>
    </row>
    <row r="1011" spans="1:12" x14ac:dyDescent="0.25">
      <c r="A1011" s="3" t="s">
        <v>1057</v>
      </c>
      <c r="B1011" s="4" t="s">
        <v>3125</v>
      </c>
      <c r="C1011" s="4" t="s">
        <v>14</v>
      </c>
      <c r="D1011" s="4" t="s">
        <v>15</v>
      </c>
      <c r="E1011" s="5" t="str">
        <f>"9051365"</f>
        <v>9051365</v>
      </c>
      <c r="F1011" s="3" t="s">
        <v>3246</v>
      </c>
      <c r="G1011" s="5">
        <v>2106109809</v>
      </c>
      <c r="H1011" s="4" t="s">
        <v>3247</v>
      </c>
      <c r="I1011" s="4" t="s">
        <v>3150</v>
      </c>
      <c r="J1011" s="4" t="s">
        <v>3151</v>
      </c>
      <c r="K1011" s="4" t="s">
        <v>3248</v>
      </c>
      <c r="L1011" s="5">
        <v>15126</v>
      </c>
    </row>
    <row r="1012" spans="1:12" x14ac:dyDescent="0.25">
      <c r="A1012" s="3" t="s">
        <v>1057</v>
      </c>
      <c r="B1012" s="4" t="s">
        <v>3125</v>
      </c>
      <c r="C1012" s="4" t="s">
        <v>14</v>
      </c>
      <c r="D1012" s="4" t="s">
        <v>15</v>
      </c>
      <c r="E1012" s="5" t="str">
        <f>"9050085"</f>
        <v>9050085</v>
      </c>
      <c r="F1012" s="3" t="s">
        <v>3249</v>
      </c>
      <c r="G1012" s="5">
        <v>2106512220</v>
      </c>
      <c r="H1012" s="4" t="s">
        <v>3250</v>
      </c>
      <c r="I1012" s="4" t="s">
        <v>3207</v>
      </c>
      <c r="J1012" s="4" t="s">
        <v>3208</v>
      </c>
      <c r="K1012" s="4" t="s">
        <v>3251</v>
      </c>
      <c r="L1012" s="5">
        <v>15562</v>
      </c>
    </row>
    <row r="1013" spans="1:12" x14ac:dyDescent="0.25">
      <c r="A1013" s="3" t="s">
        <v>1057</v>
      </c>
      <c r="B1013" s="4" t="s">
        <v>3125</v>
      </c>
      <c r="C1013" s="4" t="s">
        <v>14</v>
      </c>
      <c r="D1013" s="4" t="s">
        <v>15</v>
      </c>
      <c r="E1013" s="5" t="str">
        <f>"9050045"</f>
        <v>9050045</v>
      </c>
      <c r="F1013" s="3" t="s">
        <v>3252</v>
      </c>
      <c r="G1013" s="5">
        <v>2108042342</v>
      </c>
      <c r="H1013" s="4" t="s">
        <v>3253</v>
      </c>
      <c r="I1013" s="4" t="s">
        <v>3171</v>
      </c>
      <c r="J1013" s="4" t="s">
        <v>3172</v>
      </c>
      <c r="K1013" s="4" t="s">
        <v>3254</v>
      </c>
      <c r="L1013" s="5">
        <v>15127</v>
      </c>
    </row>
    <row r="1014" spans="1:12" x14ac:dyDescent="0.25">
      <c r="A1014" s="3" t="s">
        <v>1057</v>
      </c>
      <c r="B1014" s="4" t="s">
        <v>3125</v>
      </c>
      <c r="C1014" s="4" t="s">
        <v>25</v>
      </c>
      <c r="D1014" s="4" t="s">
        <v>26</v>
      </c>
      <c r="E1014" s="5" t="str">
        <f>"9050507"</f>
        <v>9050507</v>
      </c>
      <c r="F1014" s="3" t="s">
        <v>3255</v>
      </c>
      <c r="G1014" s="5">
        <v>2102758986</v>
      </c>
      <c r="H1014" s="4" t="s">
        <v>3256</v>
      </c>
      <c r="I1014" s="4" t="s">
        <v>3257</v>
      </c>
      <c r="J1014" s="4" t="s">
        <v>3258</v>
      </c>
      <c r="K1014" s="4" t="s">
        <v>3259</v>
      </c>
      <c r="L1014" s="5">
        <v>14231</v>
      </c>
    </row>
    <row r="1015" spans="1:12" x14ac:dyDescent="0.25">
      <c r="A1015" s="3" t="s">
        <v>1057</v>
      </c>
      <c r="B1015" s="4" t="s">
        <v>3125</v>
      </c>
      <c r="C1015" s="4" t="s">
        <v>14</v>
      </c>
      <c r="D1015" s="4" t="s">
        <v>15</v>
      </c>
      <c r="E1015" s="5" t="str">
        <f>"9050495"</f>
        <v>9050495</v>
      </c>
      <c r="F1015" s="3" t="s">
        <v>3260</v>
      </c>
      <c r="G1015" s="5">
        <v>2102779545</v>
      </c>
      <c r="H1015" s="4" t="s">
        <v>3261</v>
      </c>
      <c r="I1015" s="4" t="s">
        <v>3257</v>
      </c>
      <c r="J1015" s="4" t="s">
        <v>3258</v>
      </c>
      <c r="K1015" s="4" t="s">
        <v>3262</v>
      </c>
      <c r="L1015" s="5">
        <v>14231</v>
      </c>
    </row>
    <row r="1016" spans="1:12" x14ac:dyDescent="0.25">
      <c r="A1016" s="3" t="s">
        <v>1057</v>
      </c>
      <c r="B1016" s="4" t="s">
        <v>3125</v>
      </c>
      <c r="C1016" s="4" t="s">
        <v>14</v>
      </c>
      <c r="D1016" s="4" t="s">
        <v>15</v>
      </c>
      <c r="E1016" s="5" t="str">
        <f>"9051330"</f>
        <v>9051330</v>
      </c>
      <c r="F1016" s="3" t="s">
        <v>3263</v>
      </c>
      <c r="G1016" s="5">
        <v>2108089194</v>
      </c>
      <c r="H1016" s="4" t="s">
        <v>3264</v>
      </c>
      <c r="I1016" s="4" t="s">
        <v>3202</v>
      </c>
      <c r="J1016" s="4" t="s">
        <v>3203</v>
      </c>
      <c r="K1016" s="4" t="s">
        <v>3265</v>
      </c>
      <c r="L1016" s="5">
        <v>14561</v>
      </c>
    </row>
    <row r="1017" spans="1:12" x14ac:dyDescent="0.25">
      <c r="A1017" s="3" t="s">
        <v>1057</v>
      </c>
      <c r="B1017" s="4" t="s">
        <v>3125</v>
      </c>
      <c r="C1017" s="4" t="s">
        <v>14</v>
      </c>
      <c r="D1017" s="4" t="s">
        <v>15</v>
      </c>
      <c r="E1017" s="5" t="str">
        <f>"9050023"</f>
        <v>9050023</v>
      </c>
      <c r="F1017" s="3" t="s">
        <v>3266</v>
      </c>
      <c r="G1017" s="5">
        <v>2106712207</v>
      </c>
      <c r="H1017" s="4" t="s">
        <v>3267</v>
      </c>
      <c r="I1017" s="4" t="s">
        <v>3133</v>
      </c>
      <c r="J1017" s="4" t="s">
        <v>3268</v>
      </c>
      <c r="K1017" s="4" t="s">
        <v>3269</v>
      </c>
      <c r="L1017" s="5">
        <v>15452</v>
      </c>
    </row>
    <row r="1018" spans="1:12" x14ac:dyDescent="0.25">
      <c r="A1018" s="3" t="s">
        <v>1057</v>
      </c>
      <c r="B1018" s="4" t="s">
        <v>3125</v>
      </c>
      <c r="C1018" s="4" t="s">
        <v>25</v>
      </c>
      <c r="D1018" s="4" t="s">
        <v>26</v>
      </c>
      <c r="E1018" s="5" t="str">
        <f>"9050882"</f>
        <v>9050882</v>
      </c>
      <c r="F1018" s="3" t="s">
        <v>3270</v>
      </c>
      <c r="G1018" s="5">
        <v>2102759728</v>
      </c>
      <c r="H1018" s="4" t="s">
        <v>3271</v>
      </c>
      <c r="I1018" s="4" t="s">
        <v>3257</v>
      </c>
      <c r="J1018" s="4" t="s">
        <v>3257</v>
      </c>
      <c r="K1018" s="4" t="s">
        <v>3272</v>
      </c>
      <c r="L1018" s="5">
        <v>14231</v>
      </c>
    </row>
    <row r="1019" spans="1:12" x14ac:dyDescent="0.25">
      <c r="A1019" s="3" t="s">
        <v>1057</v>
      </c>
      <c r="B1019" s="4" t="s">
        <v>3125</v>
      </c>
      <c r="C1019" s="4" t="s">
        <v>14</v>
      </c>
      <c r="D1019" s="4" t="s">
        <v>15</v>
      </c>
      <c r="E1019" s="5" t="str">
        <f>"9050037"</f>
        <v>9050037</v>
      </c>
      <c r="F1019" s="3" t="s">
        <v>3273</v>
      </c>
      <c r="G1019" s="5">
        <v>2108052552</v>
      </c>
      <c r="H1019" s="4" t="s">
        <v>3274</v>
      </c>
      <c r="I1019" s="4" t="s">
        <v>3150</v>
      </c>
      <c r="J1019" s="4" t="s">
        <v>3151</v>
      </c>
      <c r="K1019" s="4" t="s">
        <v>3275</v>
      </c>
      <c r="L1019" s="5">
        <v>15124</v>
      </c>
    </row>
    <row r="1020" spans="1:12" x14ac:dyDescent="0.25">
      <c r="A1020" s="3" t="s">
        <v>1057</v>
      </c>
      <c r="B1020" s="4" t="s">
        <v>3125</v>
      </c>
      <c r="C1020" s="4" t="s">
        <v>14</v>
      </c>
      <c r="D1020" s="4" t="s">
        <v>15</v>
      </c>
      <c r="E1020" s="5" t="str">
        <f>"9050084"</f>
        <v>9050084</v>
      </c>
      <c r="F1020" s="3" t="s">
        <v>3276</v>
      </c>
      <c r="G1020" s="5">
        <v>2106510338</v>
      </c>
      <c r="H1020" s="4" t="s">
        <v>3277</v>
      </c>
      <c r="I1020" s="4" t="s">
        <v>3207</v>
      </c>
      <c r="J1020" s="4" t="s">
        <v>3278</v>
      </c>
      <c r="K1020" s="4" t="s">
        <v>3279</v>
      </c>
      <c r="L1020" s="5">
        <v>15669</v>
      </c>
    </row>
    <row r="1021" spans="1:12" x14ac:dyDescent="0.25">
      <c r="A1021" s="3" t="s">
        <v>1057</v>
      </c>
      <c r="B1021" s="4" t="s">
        <v>3125</v>
      </c>
      <c r="C1021" s="4" t="s">
        <v>14</v>
      </c>
      <c r="D1021" s="4" t="s">
        <v>15</v>
      </c>
      <c r="E1021" s="5" t="str">
        <f>"9050050"</f>
        <v>9050050</v>
      </c>
      <c r="F1021" s="3" t="s">
        <v>3280</v>
      </c>
      <c r="G1021" s="5">
        <v>2108040470</v>
      </c>
      <c r="H1021" s="4" t="s">
        <v>3281</v>
      </c>
      <c r="I1021" s="4" t="s">
        <v>3171</v>
      </c>
      <c r="J1021" s="4" t="s">
        <v>3282</v>
      </c>
      <c r="K1021" s="4" t="s">
        <v>3283</v>
      </c>
      <c r="L1021" s="5">
        <v>15239</v>
      </c>
    </row>
    <row r="1022" spans="1:12" x14ac:dyDescent="0.25">
      <c r="A1022" s="3" t="s">
        <v>1057</v>
      </c>
      <c r="B1022" s="4" t="s">
        <v>3125</v>
      </c>
      <c r="C1022" s="4" t="s">
        <v>14</v>
      </c>
      <c r="D1022" s="4" t="s">
        <v>15</v>
      </c>
      <c r="E1022" s="5" t="str">
        <f>"9050070"</f>
        <v>9050070</v>
      </c>
      <c r="F1022" s="3" t="s">
        <v>3284</v>
      </c>
      <c r="G1022" s="5">
        <v>2106812120</v>
      </c>
      <c r="H1022" s="4" t="s">
        <v>3285</v>
      </c>
      <c r="I1022" s="4" t="s">
        <v>3286</v>
      </c>
      <c r="J1022" s="4" t="s">
        <v>3287</v>
      </c>
      <c r="K1022" s="4" t="s">
        <v>3288</v>
      </c>
      <c r="L1022" s="5">
        <v>15234</v>
      </c>
    </row>
    <row r="1023" spans="1:12" x14ac:dyDescent="0.25">
      <c r="A1023" s="3" t="s">
        <v>1057</v>
      </c>
      <c r="B1023" s="4" t="s">
        <v>3125</v>
      </c>
      <c r="C1023" s="4" t="s">
        <v>14</v>
      </c>
      <c r="D1023" s="4" t="s">
        <v>15</v>
      </c>
      <c r="E1023" s="5" t="str">
        <f>"9050072"</f>
        <v>9050072</v>
      </c>
      <c r="F1023" s="3" t="s">
        <v>3289</v>
      </c>
      <c r="G1023" s="5">
        <v>2106813036</v>
      </c>
      <c r="H1023" s="4" t="s">
        <v>3290</v>
      </c>
      <c r="I1023" s="4" t="s">
        <v>3286</v>
      </c>
      <c r="J1023" s="4" t="s">
        <v>3287</v>
      </c>
      <c r="K1023" s="4" t="s">
        <v>3291</v>
      </c>
      <c r="L1023" s="5">
        <v>15232</v>
      </c>
    </row>
    <row r="1024" spans="1:12" x14ac:dyDescent="0.25">
      <c r="A1024" s="3" t="s">
        <v>1057</v>
      </c>
      <c r="B1024" s="4" t="s">
        <v>3125</v>
      </c>
      <c r="C1024" s="4" t="s">
        <v>25</v>
      </c>
      <c r="D1024" s="4" t="s">
        <v>26</v>
      </c>
      <c r="E1024" s="5" t="str">
        <f>"9051293"</f>
        <v>9051293</v>
      </c>
      <c r="F1024" s="3" t="s">
        <v>3292</v>
      </c>
      <c r="G1024" s="5">
        <v>2106397464</v>
      </c>
      <c r="H1024" s="4" t="s">
        <v>3293</v>
      </c>
      <c r="I1024" s="4" t="s">
        <v>3145</v>
      </c>
      <c r="J1024" s="4" t="s">
        <v>3167</v>
      </c>
      <c r="K1024" s="4" t="s">
        <v>3294</v>
      </c>
      <c r="L1024" s="5">
        <v>15341</v>
      </c>
    </row>
    <row r="1025" spans="1:12" x14ac:dyDescent="0.25">
      <c r="A1025" s="3" t="s">
        <v>1057</v>
      </c>
      <c r="B1025" s="4" t="s">
        <v>3125</v>
      </c>
      <c r="C1025" s="4" t="s">
        <v>14</v>
      </c>
      <c r="D1025" s="4" t="s">
        <v>15</v>
      </c>
      <c r="E1025" s="5" t="str">
        <f>"9050038"</f>
        <v>9050038</v>
      </c>
      <c r="F1025" s="3" t="s">
        <v>3295</v>
      </c>
      <c r="G1025" s="5">
        <v>2106140681</v>
      </c>
      <c r="H1025" s="4" t="s">
        <v>3296</v>
      </c>
      <c r="I1025" s="4" t="s">
        <v>3150</v>
      </c>
      <c r="J1025" s="4" t="s">
        <v>3151</v>
      </c>
      <c r="K1025" s="4" t="s">
        <v>3297</v>
      </c>
      <c r="L1025" s="5">
        <v>15122</v>
      </c>
    </row>
    <row r="1026" spans="1:12" x14ac:dyDescent="0.25">
      <c r="A1026" s="3" t="s">
        <v>1057</v>
      </c>
      <c r="B1026" s="4" t="s">
        <v>3125</v>
      </c>
      <c r="C1026" s="4" t="s">
        <v>14</v>
      </c>
      <c r="D1026" s="4" t="s">
        <v>15</v>
      </c>
      <c r="E1026" s="5" t="str">
        <f>"9050485"</f>
        <v>9050485</v>
      </c>
      <c r="F1026" s="3" t="s">
        <v>3298</v>
      </c>
      <c r="G1026" s="5">
        <v>2102799029</v>
      </c>
      <c r="H1026" s="4" t="s">
        <v>3299</v>
      </c>
      <c r="I1026" s="4" t="s">
        <v>3257</v>
      </c>
      <c r="J1026" s="4" t="s">
        <v>3258</v>
      </c>
      <c r="K1026" s="4" t="s">
        <v>3300</v>
      </c>
      <c r="L1026" s="5">
        <v>14231</v>
      </c>
    </row>
    <row r="1027" spans="1:12" x14ac:dyDescent="0.25">
      <c r="A1027" s="3" t="s">
        <v>1057</v>
      </c>
      <c r="B1027" s="4" t="s">
        <v>3125</v>
      </c>
      <c r="C1027" s="4" t="s">
        <v>14</v>
      </c>
      <c r="D1027" s="4" t="s">
        <v>15</v>
      </c>
      <c r="E1027" s="5" t="str">
        <f>"9050027"</f>
        <v>9050027</v>
      </c>
      <c r="F1027" s="3" t="s">
        <v>3301</v>
      </c>
      <c r="G1027" s="5">
        <v>2106725142</v>
      </c>
      <c r="H1027" s="4" t="s">
        <v>3302</v>
      </c>
      <c r="I1027" s="4" t="s">
        <v>3133</v>
      </c>
      <c r="J1027" s="4" t="s">
        <v>3138</v>
      </c>
      <c r="K1027" s="4" t="s">
        <v>3303</v>
      </c>
      <c r="L1027" s="5">
        <v>15451</v>
      </c>
    </row>
    <row r="1028" spans="1:12" x14ac:dyDescent="0.25">
      <c r="A1028" s="3" t="s">
        <v>1057</v>
      </c>
      <c r="B1028" s="4" t="s">
        <v>3125</v>
      </c>
      <c r="C1028" s="4" t="s">
        <v>14</v>
      </c>
      <c r="D1028" s="4" t="s">
        <v>15</v>
      </c>
      <c r="E1028" s="5" t="str">
        <f>"9050071"</f>
        <v>9050071</v>
      </c>
      <c r="F1028" s="3" t="s">
        <v>3304</v>
      </c>
      <c r="G1028" s="5">
        <v>2106811564</v>
      </c>
      <c r="H1028" s="4" t="s">
        <v>3305</v>
      </c>
      <c r="I1028" s="4" t="s">
        <v>3286</v>
      </c>
      <c r="J1028" s="4" t="s">
        <v>3287</v>
      </c>
      <c r="K1028" s="4" t="s">
        <v>3306</v>
      </c>
      <c r="L1028" s="5">
        <v>15233</v>
      </c>
    </row>
    <row r="1029" spans="1:12" x14ac:dyDescent="0.25">
      <c r="A1029" s="3" t="s">
        <v>1057</v>
      </c>
      <c r="B1029" s="4" t="s">
        <v>3125</v>
      </c>
      <c r="C1029" s="4" t="s">
        <v>14</v>
      </c>
      <c r="D1029" s="4" t="s">
        <v>15</v>
      </c>
      <c r="E1029" s="5" t="str">
        <f>"9050599"</f>
        <v>9050599</v>
      </c>
      <c r="F1029" s="3" t="s">
        <v>3307</v>
      </c>
      <c r="G1029" s="5">
        <v>2106392242</v>
      </c>
      <c r="H1029" s="4" t="s">
        <v>3308</v>
      </c>
      <c r="I1029" s="4" t="s">
        <v>3145</v>
      </c>
      <c r="J1029" s="4" t="s">
        <v>3167</v>
      </c>
      <c r="K1029" s="4" t="s">
        <v>3309</v>
      </c>
      <c r="L1029" s="5">
        <v>15343</v>
      </c>
    </row>
    <row r="1030" spans="1:12" x14ac:dyDescent="0.25">
      <c r="A1030" s="3" t="s">
        <v>1057</v>
      </c>
      <c r="B1030" s="4" t="s">
        <v>3125</v>
      </c>
      <c r="C1030" s="4" t="s">
        <v>14</v>
      </c>
      <c r="D1030" s="4" t="s">
        <v>15</v>
      </c>
      <c r="E1030" s="5" t="str">
        <f>"9050062"</f>
        <v>9050062</v>
      </c>
      <c r="F1030" s="3" t="s">
        <v>3310</v>
      </c>
      <c r="G1030" s="5">
        <v>2108132405</v>
      </c>
      <c r="H1030" s="4" t="s">
        <v>3311</v>
      </c>
      <c r="I1030" s="4" t="s">
        <v>3202</v>
      </c>
      <c r="J1030" s="4" t="s">
        <v>3312</v>
      </c>
      <c r="K1030" s="4" t="s">
        <v>3313</v>
      </c>
      <c r="L1030" s="5">
        <v>14578</v>
      </c>
    </row>
    <row r="1031" spans="1:12" x14ac:dyDescent="0.25">
      <c r="A1031" s="3" t="s">
        <v>1057</v>
      </c>
      <c r="B1031" s="4" t="s">
        <v>3125</v>
      </c>
      <c r="C1031" s="4" t="s">
        <v>14</v>
      </c>
      <c r="D1031" s="4" t="s">
        <v>15</v>
      </c>
      <c r="E1031" s="5" t="str">
        <f>"9050068"</f>
        <v>9050068</v>
      </c>
      <c r="F1031" s="3" t="s">
        <v>3314</v>
      </c>
      <c r="G1031" s="5">
        <v>2106847273</v>
      </c>
      <c r="H1031" s="4" t="s">
        <v>3315</v>
      </c>
      <c r="I1031" s="4" t="s">
        <v>3286</v>
      </c>
      <c r="J1031" s="4" t="s">
        <v>3316</v>
      </c>
      <c r="K1031" s="4" t="s">
        <v>3317</v>
      </c>
      <c r="L1031" s="5">
        <v>15234</v>
      </c>
    </row>
    <row r="1032" spans="1:12" x14ac:dyDescent="0.25">
      <c r="A1032" s="3" t="s">
        <v>1057</v>
      </c>
      <c r="B1032" s="4" t="s">
        <v>3125</v>
      </c>
      <c r="C1032" s="4" t="s">
        <v>25</v>
      </c>
      <c r="D1032" s="4" t="s">
        <v>26</v>
      </c>
      <c r="E1032" s="5" t="str">
        <f>"9051209"</f>
        <v>9051209</v>
      </c>
      <c r="F1032" s="3" t="s">
        <v>3318</v>
      </c>
      <c r="G1032" s="5">
        <v>2106524562</v>
      </c>
      <c r="H1032" s="4" t="s">
        <v>3319</v>
      </c>
      <c r="I1032" s="4" t="s">
        <v>3207</v>
      </c>
      <c r="J1032" s="4" t="s">
        <v>3208</v>
      </c>
      <c r="K1032" s="4" t="s">
        <v>3320</v>
      </c>
      <c r="L1032" s="5">
        <v>15562</v>
      </c>
    </row>
    <row r="1033" spans="1:12" x14ac:dyDescent="0.25">
      <c r="A1033" s="3" t="s">
        <v>1057</v>
      </c>
      <c r="B1033" s="4" t="s">
        <v>3125</v>
      </c>
      <c r="C1033" s="4" t="s">
        <v>14</v>
      </c>
      <c r="D1033" s="4" t="s">
        <v>15</v>
      </c>
      <c r="E1033" s="5" t="str">
        <f>"9050078"</f>
        <v>9050078</v>
      </c>
      <c r="F1033" s="3" t="s">
        <v>3321</v>
      </c>
      <c r="G1033" s="5">
        <v>2106392290</v>
      </c>
      <c r="H1033" s="4" t="s">
        <v>3322</v>
      </c>
      <c r="I1033" s="4" t="s">
        <v>3145</v>
      </c>
      <c r="J1033" s="4" t="s">
        <v>3167</v>
      </c>
      <c r="K1033" s="4" t="s">
        <v>3323</v>
      </c>
      <c r="L1033" s="5">
        <v>15342</v>
      </c>
    </row>
    <row r="1034" spans="1:12" x14ac:dyDescent="0.25">
      <c r="A1034" s="3" t="s">
        <v>1057</v>
      </c>
      <c r="B1034" s="4" t="s">
        <v>3125</v>
      </c>
      <c r="C1034" s="4" t="s">
        <v>25</v>
      </c>
      <c r="D1034" s="4" t="s">
        <v>26</v>
      </c>
      <c r="E1034" s="5" t="str">
        <f>"9051033"</f>
        <v>9051033</v>
      </c>
      <c r="F1034" s="3" t="s">
        <v>3324</v>
      </c>
      <c r="G1034" s="5">
        <v>2108085639</v>
      </c>
      <c r="H1034" s="4" t="s">
        <v>3325</v>
      </c>
      <c r="I1034" s="4" t="s">
        <v>3202</v>
      </c>
      <c r="J1034" s="4" t="s">
        <v>3203</v>
      </c>
      <c r="K1034" s="4" t="s">
        <v>3326</v>
      </c>
      <c r="L1034" s="5">
        <v>14561</v>
      </c>
    </row>
    <row r="1035" spans="1:12" x14ac:dyDescent="0.25">
      <c r="A1035" s="3" t="s">
        <v>1057</v>
      </c>
      <c r="B1035" s="4" t="s">
        <v>3125</v>
      </c>
      <c r="C1035" s="4" t="s">
        <v>14</v>
      </c>
      <c r="D1035" s="4" t="s">
        <v>15</v>
      </c>
      <c r="E1035" s="5" t="str">
        <f>"9050030"</f>
        <v>9050030</v>
      </c>
      <c r="F1035" s="3" t="s">
        <v>3327</v>
      </c>
      <c r="G1035" s="5">
        <v>2108020697</v>
      </c>
      <c r="H1035" s="4" t="s">
        <v>3328</v>
      </c>
      <c r="I1035" s="4" t="s">
        <v>3150</v>
      </c>
      <c r="J1035" s="4" t="s">
        <v>3151</v>
      </c>
      <c r="K1035" s="4" t="s">
        <v>3329</v>
      </c>
      <c r="L1035" s="5">
        <v>15124</v>
      </c>
    </row>
    <row r="1036" spans="1:12" x14ac:dyDescent="0.25">
      <c r="A1036" s="3" t="s">
        <v>1057</v>
      </c>
      <c r="B1036" s="4" t="s">
        <v>3125</v>
      </c>
      <c r="C1036" s="4" t="s">
        <v>14</v>
      </c>
      <c r="D1036" s="4" t="s">
        <v>15</v>
      </c>
      <c r="E1036" s="5" t="str">
        <f>"9050504"</f>
        <v>9050504</v>
      </c>
      <c r="F1036" s="3" t="s">
        <v>3330</v>
      </c>
      <c r="G1036" s="5">
        <v>2102798403</v>
      </c>
      <c r="H1036" s="4" t="s">
        <v>3331</v>
      </c>
      <c r="I1036" s="4" t="s">
        <v>3257</v>
      </c>
      <c r="J1036" s="4" t="s">
        <v>3258</v>
      </c>
      <c r="K1036" s="4" t="s">
        <v>3332</v>
      </c>
      <c r="L1036" s="5">
        <v>14232</v>
      </c>
    </row>
    <row r="1037" spans="1:12" x14ac:dyDescent="0.25">
      <c r="A1037" s="3" t="s">
        <v>1057</v>
      </c>
      <c r="B1037" s="4" t="s">
        <v>3125</v>
      </c>
      <c r="C1037" s="4" t="s">
        <v>14</v>
      </c>
      <c r="D1037" s="4" t="s">
        <v>15</v>
      </c>
      <c r="E1037" s="5" t="str">
        <f>"9051270"</f>
        <v>9051270</v>
      </c>
      <c r="F1037" s="3" t="s">
        <v>3333</v>
      </c>
      <c r="G1037" s="5">
        <v>2108069041</v>
      </c>
      <c r="H1037" s="4" t="s">
        <v>3334</v>
      </c>
      <c r="I1037" s="4" t="s">
        <v>3212</v>
      </c>
      <c r="J1037" s="4" t="s">
        <v>3213</v>
      </c>
      <c r="K1037" s="4" t="s">
        <v>3335</v>
      </c>
      <c r="L1037" s="5">
        <v>15121</v>
      </c>
    </row>
    <row r="1038" spans="1:12" x14ac:dyDescent="0.25">
      <c r="A1038" s="3" t="s">
        <v>1057</v>
      </c>
      <c r="B1038" s="4" t="s">
        <v>3125</v>
      </c>
      <c r="C1038" s="4" t="s">
        <v>14</v>
      </c>
      <c r="D1038" s="4" t="s">
        <v>15</v>
      </c>
      <c r="E1038" s="5" t="str">
        <f>"9051327"</f>
        <v>9051327</v>
      </c>
      <c r="F1038" s="3" t="s">
        <v>3336</v>
      </c>
      <c r="G1038" s="5">
        <v>2106009860</v>
      </c>
      <c r="H1038" s="4" t="s">
        <v>3337</v>
      </c>
      <c r="I1038" s="4" t="s">
        <v>3145</v>
      </c>
      <c r="J1038" s="4" t="s">
        <v>3167</v>
      </c>
      <c r="K1038" s="4" t="s">
        <v>3338</v>
      </c>
      <c r="L1038" s="5">
        <v>15343</v>
      </c>
    </row>
    <row r="1039" spans="1:12" x14ac:dyDescent="0.25">
      <c r="A1039" s="3" t="s">
        <v>1057</v>
      </c>
      <c r="B1039" s="4" t="s">
        <v>3125</v>
      </c>
      <c r="C1039" s="4" t="s">
        <v>14</v>
      </c>
      <c r="D1039" s="4" t="s">
        <v>15</v>
      </c>
      <c r="E1039" s="5" t="str">
        <f>"9051481"</f>
        <v>9051481</v>
      </c>
      <c r="F1039" s="3" t="s">
        <v>3339</v>
      </c>
      <c r="G1039" s="5">
        <v>2102531572</v>
      </c>
      <c r="H1039" s="4" t="s">
        <v>3340</v>
      </c>
      <c r="I1039" s="4" t="s">
        <v>3257</v>
      </c>
      <c r="J1039" s="4" t="s">
        <v>3341</v>
      </c>
      <c r="K1039" s="4" t="s">
        <v>3342</v>
      </c>
      <c r="L1039" s="5">
        <v>14232</v>
      </c>
    </row>
    <row r="1040" spans="1:12" x14ac:dyDescent="0.25">
      <c r="A1040" s="3" t="s">
        <v>1057</v>
      </c>
      <c r="B1040" s="4" t="s">
        <v>3125</v>
      </c>
      <c r="C1040" s="4" t="s">
        <v>14</v>
      </c>
      <c r="D1040" s="4" t="s">
        <v>15</v>
      </c>
      <c r="E1040" s="5" t="str">
        <f>"9050073"</f>
        <v>9050073</v>
      </c>
      <c r="F1040" s="3" t="s">
        <v>3343</v>
      </c>
      <c r="G1040" s="5">
        <v>2106397445</v>
      </c>
      <c r="H1040" s="4" t="s">
        <v>3344</v>
      </c>
      <c r="I1040" s="4" t="s">
        <v>3286</v>
      </c>
      <c r="J1040" s="4" t="s">
        <v>3287</v>
      </c>
      <c r="K1040" s="4" t="s">
        <v>3345</v>
      </c>
      <c r="L1040" s="5">
        <v>15234</v>
      </c>
    </row>
    <row r="1041" spans="1:12" x14ac:dyDescent="0.25">
      <c r="A1041" s="3" t="s">
        <v>1057</v>
      </c>
      <c r="B1041" s="4" t="s">
        <v>3125</v>
      </c>
      <c r="C1041" s="4" t="s">
        <v>14</v>
      </c>
      <c r="D1041" s="4" t="s">
        <v>15</v>
      </c>
      <c r="E1041" s="5" t="str">
        <f>"9050074"</f>
        <v>9050074</v>
      </c>
      <c r="F1041" s="3" t="s">
        <v>3346</v>
      </c>
      <c r="G1041" s="5">
        <v>2106818029</v>
      </c>
      <c r="H1041" s="4" t="s">
        <v>3347</v>
      </c>
      <c r="I1041" s="4" t="s">
        <v>3286</v>
      </c>
      <c r="J1041" s="4" t="s">
        <v>3287</v>
      </c>
      <c r="K1041" s="4" t="s">
        <v>3348</v>
      </c>
      <c r="L1041" s="5">
        <v>15232</v>
      </c>
    </row>
    <row r="1042" spans="1:12" x14ac:dyDescent="0.25">
      <c r="A1042" s="3" t="s">
        <v>1057</v>
      </c>
      <c r="B1042" s="4" t="s">
        <v>3125</v>
      </c>
      <c r="C1042" s="4" t="s">
        <v>14</v>
      </c>
      <c r="D1042" s="4" t="s">
        <v>15</v>
      </c>
      <c r="E1042" s="5" t="str">
        <f>"9050082"</f>
        <v>9050082</v>
      </c>
      <c r="F1042" s="3" t="s">
        <v>3349</v>
      </c>
      <c r="G1042" s="5">
        <v>2106399474</v>
      </c>
      <c r="H1042" s="4" t="s">
        <v>3350</v>
      </c>
      <c r="I1042" s="4" t="s">
        <v>3145</v>
      </c>
      <c r="J1042" s="4" t="s">
        <v>3167</v>
      </c>
      <c r="K1042" s="4" t="s">
        <v>3351</v>
      </c>
      <c r="L1042" s="5">
        <v>15341</v>
      </c>
    </row>
    <row r="1043" spans="1:12" x14ac:dyDescent="0.25">
      <c r="A1043" s="3" t="s">
        <v>1057</v>
      </c>
      <c r="B1043" s="4" t="s">
        <v>3125</v>
      </c>
      <c r="C1043" s="4" t="s">
        <v>25</v>
      </c>
      <c r="D1043" s="4" t="s">
        <v>26</v>
      </c>
      <c r="E1043" s="5" t="str">
        <f>"9050468"</f>
        <v>9050468</v>
      </c>
      <c r="F1043" s="3" t="s">
        <v>3352</v>
      </c>
      <c r="G1043" s="5">
        <v>2102817390</v>
      </c>
      <c r="H1043" s="4" t="s">
        <v>3353</v>
      </c>
      <c r="I1043" s="4" t="s">
        <v>3193</v>
      </c>
      <c r="J1043" s="4" t="s">
        <v>3354</v>
      </c>
      <c r="K1043" s="4" t="s">
        <v>3355</v>
      </c>
      <c r="L1043" s="5">
        <v>14121</v>
      </c>
    </row>
    <row r="1044" spans="1:12" x14ac:dyDescent="0.25">
      <c r="A1044" s="3" t="s">
        <v>1057</v>
      </c>
      <c r="B1044" s="4" t="s">
        <v>3125</v>
      </c>
      <c r="C1044" s="4" t="s">
        <v>25</v>
      </c>
      <c r="D1044" s="4" t="s">
        <v>26</v>
      </c>
      <c r="E1044" s="5" t="str">
        <f>"9050471"</f>
        <v>9050471</v>
      </c>
      <c r="F1044" s="3" t="s">
        <v>3356</v>
      </c>
      <c r="G1044" s="5">
        <v>2102835682</v>
      </c>
      <c r="H1044" s="4" t="s">
        <v>3357</v>
      </c>
      <c r="I1044" s="4" t="s">
        <v>3193</v>
      </c>
      <c r="J1044" s="4" t="s">
        <v>3354</v>
      </c>
      <c r="K1044" s="4" t="s">
        <v>3358</v>
      </c>
      <c r="L1044" s="5">
        <v>14122</v>
      </c>
    </row>
    <row r="1045" spans="1:12" x14ac:dyDescent="0.25">
      <c r="A1045" s="3" t="s">
        <v>1057</v>
      </c>
      <c r="B1045" s="4" t="s">
        <v>3125</v>
      </c>
      <c r="C1045" s="4" t="s">
        <v>14</v>
      </c>
      <c r="D1045" s="4" t="s">
        <v>15</v>
      </c>
      <c r="E1045" s="5" t="str">
        <f>"9051369"</f>
        <v>9051369</v>
      </c>
      <c r="F1045" s="3" t="s">
        <v>3359</v>
      </c>
      <c r="G1045" s="5">
        <v>2108071312</v>
      </c>
      <c r="H1045" s="4" t="s">
        <v>3360</v>
      </c>
      <c r="I1045" s="4" t="s">
        <v>3202</v>
      </c>
      <c r="J1045" s="4" t="s">
        <v>3203</v>
      </c>
      <c r="K1045" s="4" t="s">
        <v>3361</v>
      </c>
      <c r="L1045" s="5">
        <v>14564</v>
      </c>
    </row>
    <row r="1046" spans="1:12" x14ac:dyDescent="0.25">
      <c r="A1046" s="3" t="s">
        <v>1057</v>
      </c>
      <c r="B1046" s="4" t="s">
        <v>3125</v>
      </c>
      <c r="C1046" s="4" t="s">
        <v>14</v>
      </c>
      <c r="D1046" s="4" t="s">
        <v>15</v>
      </c>
      <c r="E1046" s="5" t="str">
        <f>"9050047"</f>
        <v>9050047</v>
      </c>
      <c r="F1046" s="3" t="s">
        <v>3362</v>
      </c>
      <c r="G1046" s="5">
        <v>2108076780</v>
      </c>
      <c r="H1046" s="4" t="s">
        <v>3363</v>
      </c>
      <c r="I1046" s="4" t="s">
        <v>3202</v>
      </c>
      <c r="J1046" s="4" t="s">
        <v>3364</v>
      </c>
      <c r="K1046" s="4" t="s">
        <v>3365</v>
      </c>
      <c r="L1046" s="5">
        <v>14671</v>
      </c>
    </row>
    <row r="1047" spans="1:12" x14ac:dyDescent="0.25">
      <c r="A1047" s="3" t="s">
        <v>1057</v>
      </c>
      <c r="B1047" s="4" t="s">
        <v>3125</v>
      </c>
      <c r="C1047" s="4" t="s">
        <v>14</v>
      </c>
      <c r="D1047" s="4" t="s">
        <v>15</v>
      </c>
      <c r="E1047" s="5" t="str">
        <f>"9050046"</f>
        <v>9050046</v>
      </c>
      <c r="F1047" s="3" t="s">
        <v>3366</v>
      </c>
      <c r="G1047" s="5">
        <v>2108078331</v>
      </c>
      <c r="H1047" s="4" t="s">
        <v>3367</v>
      </c>
      <c r="I1047" s="4" t="s">
        <v>3202</v>
      </c>
      <c r="J1047" s="4" t="s">
        <v>3368</v>
      </c>
      <c r="K1047" s="4" t="s">
        <v>3369</v>
      </c>
      <c r="L1047" s="5">
        <v>14671</v>
      </c>
    </row>
    <row r="1048" spans="1:12" x14ac:dyDescent="0.25">
      <c r="A1048" s="3" t="s">
        <v>1057</v>
      </c>
      <c r="B1048" s="4" t="s">
        <v>3125</v>
      </c>
      <c r="C1048" s="4" t="s">
        <v>14</v>
      </c>
      <c r="D1048" s="4" t="s">
        <v>15</v>
      </c>
      <c r="E1048" s="5" t="str">
        <f>"9051644"</f>
        <v>9051644</v>
      </c>
      <c r="F1048" s="3" t="s">
        <v>3370</v>
      </c>
      <c r="G1048" s="5">
        <v>2106252333</v>
      </c>
      <c r="H1048" s="4" t="s">
        <v>3371</v>
      </c>
      <c r="I1048" s="4" t="s">
        <v>3202</v>
      </c>
      <c r="J1048" s="4" t="s">
        <v>3372</v>
      </c>
      <c r="K1048" s="4" t="s">
        <v>3373</v>
      </c>
      <c r="L1048" s="5">
        <v>14671</v>
      </c>
    </row>
    <row r="1049" spans="1:12" x14ac:dyDescent="0.25">
      <c r="A1049" s="3" t="s">
        <v>1057</v>
      </c>
      <c r="B1049" s="4" t="s">
        <v>3125</v>
      </c>
      <c r="C1049" s="4" t="s">
        <v>25</v>
      </c>
      <c r="D1049" s="4" t="s">
        <v>26</v>
      </c>
      <c r="E1049" s="5" t="str">
        <f>"9050706"</f>
        <v>9050706</v>
      </c>
      <c r="F1049" s="3" t="s">
        <v>3374</v>
      </c>
      <c r="G1049" s="5">
        <v>2108061902</v>
      </c>
      <c r="H1049" s="4" t="s">
        <v>3375</v>
      </c>
      <c r="I1049" s="4" t="s">
        <v>3150</v>
      </c>
      <c r="J1049" s="4" t="s">
        <v>3151</v>
      </c>
      <c r="K1049" s="4" t="s">
        <v>3376</v>
      </c>
      <c r="L1049" s="5">
        <v>15124</v>
      </c>
    </row>
    <row r="1050" spans="1:12" x14ac:dyDescent="0.25">
      <c r="A1050" s="3" t="s">
        <v>1057</v>
      </c>
      <c r="B1050" s="4" t="s">
        <v>3125</v>
      </c>
      <c r="C1050" s="4" t="s">
        <v>14</v>
      </c>
      <c r="D1050" s="4" t="s">
        <v>15</v>
      </c>
      <c r="E1050" s="5" t="str">
        <f>"9050066"</f>
        <v>9050066</v>
      </c>
      <c r="F1050" s="3" t="s">
        <v>3377</v>
      </c>
      <c r="G1050" s="5">
        <v>2106813956</v>
      </c>
      <c r="H1050" s="4" t="s">
        <v>3378</v>
      </c>
      <c r="I1050" s="4" t="s">
        <v>3286</v>
      </c>
      <c r="J1050" s="4" t="s">
        <v>3287</v>
      </c>
      <c r="K1050" s="4" t="s">
        <v>3379</v>
      </c>
      <c r="L1050" s="5">
        <v>15233</v>
      </c>
    </row>
    <row r="1051" spans="1:12" x14ac:dyDescent="0.25">
      <c r="A1051" s="3" t="s">
        <v>1057</v>
      </c>
      <c r="B1051" s="4" t="s">
        <v>3125</v>
      </c>
      <c r="C1051" s="4" t="s">
        <v>25</v>
      </c>
      <c r="D1051" s="4" t="s">
        <v>26</v>
      </c>
      <c r="E1051" s="5" t="str">
        <f>"9050878"</f>
        <v>9050878</v>
      </c>
      <c r="F1051" s="3" t="s">
        <v>3380</v>
      </c>
      <c r="G1051" s="5">
        <v>2108075188</v>
      </c>
      <c r="H1051" s="4" t="s">
        <v>3381</v>
      </c>
      <c r="I1051" s="4" t="s">
        <v>3202</v>
      </c>
      <c r="J1051" s="4" t="s">
        <v>3203</v>
      </c>
      <c r="K1051" s="4" t="s">
        <v>3382</v>
      </c>
      <c r="L1051" s="5">
        <v>14564</v>
      </c>
    </row>
    <row r="1052" spans="1:12" x14ac:dyDescent="0.25">
      <c r="A1052" s="3" t="s">
        <v>1057</v>
      </c>
      <c r="B1052" s="4" t="s">
        <v>3125</v>
      </c>
      <c r="C1052" s="4" t="s">
        <v>25</v>
      </c>
      <c r="D1052" s="4" t="s">
        <v>26</v>
      </c>
      <c r="E1052" s="5" t="str">
        <f>"9051296"</f>
        <v>9051296</v>
      </c>
      <c r="F1052" s="3" t="s">
        <v>3383</v>
      </c>
      <c r="G1052" s="5">
        <v>2108085815</v>
      </c>
      <c r="H1052" s="4" t="s">
        <v>3384</v>
      </c>
      <c r="I1052" s="4" t="s">
        <v>3202</v>
      </c>
      <c r="J1052" s="4" t="s">
        <v>3203</v>
      </c>
      <c r="K1052" s="4" t="s">
        <v>3385</v>
      </c>
      <c r="L1052" s="5">
        <v>14563</v>
      </c>
    </row>
    <row r="1053" spans="1:12" x14ac:dyDescent="0.25">
      <c r="A1053" s="3" t="s">
        <v>1057</v>
      </c>
      <c r="B1053" s="4" t="s">
        <v>3125</v>
      </c>
      <c r="C1053" s="4" t="s">
        <v>14</v>
      </c>
      <c r="D1053" s="4" t="s">
        <v>15</v>
      </c>
      <c r="E1053" s="5" t="str">
        <f>"9051351"</f>
        <v>9051351</v>
      </c>
      <c r="F1053" s="3" t="s">
        <v>3386</v>
      </c>
      <c r="G1053" s="5">
        <v>2106012914</v>
      </c>
      <c r="H1053" s="4" t="s">
        <v>3387</v>
      </c>
      <c r="I1053" s="4" t="s">
        <v>3145</v>
      </c>
      <c r="J1053" s="4" t="s">
        <v>3167</v>
      </c>
      <c r="K1053" s="4" t="s">
        <v>3388</v>
      </c>
      <c r="L1053" s="5">
        <v>15343</v>
      </c>
    </row>
    <row r="1054" spans="1:12" x14ac:dyDescent="0.25">
      <c r="A1054" s="3" t="s">
        <v>1057</v>
      </c>
      <c r="B1054" s="4" t="s">
        <v>3125</v>
      </c>
      <c r="C1054" s="4" t="s">
        <v>25</v>
      </c>
      <c r="D1054" s="4" t="s">
        <v>26</v>
      </c>
      <c r="E1054" s="5" t="str">
        <f>"9050478"</f>
        <v>9050478</v>
      </c>
      <c r="F1054" s="3" t="s">
        <v>3389</v>
      </c>
      <c r="G1054" s="5">
        <v>2102811510</v>
      </c>
      <c r="H1054" s="4" t="s">
        <v>3390</v>
      </c>
      <c r="I1054" s="4" t="s">
        <v>3188</v>
      </c>
      <c r="J1054" s="4" t="s">
        <v>3391</v>
      </c>
      <c r="K1054" s="4" t="s">
        <v>3392</v>
      </c>
      <c r="L1054" s="5">
        <v>14452</v>
      </c>
    </row>
    <row r="1055" spans="1:12" x14ac:dyDescent="0.25">
      <c r="A1055" s="3" t="s">
        <v>1057</v>
      </c>
      <c r="B1055" s="4" t="s">
        <v>3125</v>
      </c>
      <c r="C1055" s="4" t="s">
        <v>25</v>
      </c>
      <c r="D1055" s="4" t="s">
        <v>26</v>
      </c>
      <c r="E1055" s="5" t="str">
        <f>"9051792"</f>
        <v>9051792</v>
      </c>
      <c r="F1055" s="3" t="s">
        <v>3393</v>
      </c>
      <c r="G1055" s="5">
        <v>2108075188</v>
      </c>
      <c r="H1055" s="4" t="s">
        <v>3394</v>
      </c>
      <c r="I1055" s="4" t="s">
        <v>3202</v>
      </c>
      <c r="J1055" s="4" t="s">
        <v>3203</v>
      </c>
      <c r="K1055" s="4" t="s">
        <v>3395</v>
      </c>
      <c r="L1055" s="5">
        <v>14564</v>
      </c>
    </row>
    <row r="1056" spans="1:12" x14ac:dyDescent="0.25">
      <c r="A1056" s="3" t="s">
        <v>1057</v>
      </c>
      <c r="B1056" s="4" t="s">
        <v>3125</v>
      </c>
      <c r="C1056" s="4" t="s">
        <v>14</v>
      </c>
      <c r="D1056" s="4" t="s">
        <v>15</v>
      </c>
      <c r="E1056" s="5" t="str">
        <f>"9050039"</f>
        <v>9050039</v>
      </c>
      <c r="F1056" s="3" t="s">
        <v>3396</v>
      </c>
      <c r="G1056" s="5">
        <v>2108045965</v>
      </c>
      <c r="H1056" s="4" t="s">
        <v>3397</v>
      </c>
      <c r="I1056" s="4" t="s">
        <v>3128</v>
      </c>
      <c r="J1056" s="4" t="s">
        <v>3129</v>
      </c>
      <c r="K1056" s="4" t="s">
        <v>3398</v>
      </c>
      <c r="L1056" s="5">
        <v>15235</v>
      </c>
    </row>
    <row r="1057" spans="1:12" x14ac:dyDescent="0.25">
      <c r="A1057" s="3" t="s">
        <v>1057</v>
      </c>
      <c r="B1057" s="4" t="s">
        <v>3125</v>
      </c>
      <c r="C1057" s="4" t="s">
        <v>25</v>
      </c>
      <c r="D1057" s="4" t="s">
        <v>26</v>
      </c>
      <c r="E1057" s="5" t="str">
        <f>"9050494"</f>
        <v>9050494</v>
      </c>
      <c r="F1057" s="3" t="s">
        <v>3399</v>
      </c>
      <c r="G1057" s="5">
        <v>2102795922</v>
      </c>
      <c r="H1057" s="4" t="s">
        <v>3400</v>
      </c>
      <c r="I1057" s="4" t="s">
        <v>3257</v>
      </c>
      <c r="J1057" s="4" t="s">
        <v>3258</v>
      </c>
      <c r="K1057" s="4" t="s">
        <v>3401</v>
      </c>
      <c r="L1057" s="5">
        <v>14233</v>
      </c>
    </row>
    <row r="1058" spans="1:12" x14ac:dyDescent="0.25">
      <c r="A1058" s="3" t="s">
        <v>1057</v>
      </c>
      <c r="B1058" s="4" t="s">
        <v>3125</v>
      </c>
      <c r="C1058" s="4" t="s">
        <v>14</v>
      </c>
      <c r="D1058" s="4" t="s">
        <v>15</v>
      </c>
      <c r="E1058" s="5" t="str">
        <f>"9050022"</f>
        <v>9050022</v>
      </c>
      <c r="F1058" s="3" t="s">
        <v>3402</v>
      </c>
      <c r="G1058" s="5">
        <v>2106713822</v>
      </c>
      <c r="H1058" s="4" t="s">
        <v>3403</v>
      </c>
      <c r="I1058" s="4" t="s">
        <v>3133</v>
      </c>
      <c r="J1058" s="4" t="s">
        <v>3404</v>
      </c>
      <c r="K1058" s="4" t="s">
        <v>3405</v>
      </c>
      <c r="L1058" s="5">
        <v>15451</v>
      </c>
    </row>
    <row r="1059" spans="1:12" x14ac:dyDescent="0.25">
      <c r="A1059" s="3" t="s">
        <v>1057</v>
      </c>
      <c r="B1059" s="4" t="s">
        <v>3125</v>
      </c>
      <c r="C1059" s="4" t="s">
        <v>14</v>
      </c>
      <c r="D1059" s="4" t="s">
        <v>15</v>
      </c>
      <c r="E1059" s="5" t="str">
        <f>"9051478"</f>
        <v>9051478</v>
      </c>
      <c r="F1059" s="3" t="s">
        <v>3406</v>
      </c>
      <c r="G1059" s="5">
        <v>2108046275</v>
      </c>
      <c r="H1059" s="4" t="s">
        <v>3407</v>
      </c>
      <c r="I1059" s="4" t="s">
        <v>3128</v>
      </c>
      <c r="J1059" s="4" t="s">
        <v>3129</v>
      </c>
      <c r="K1059" s="4" t="s">
        <v>3408</v>
      </c>
      <c r="L1059" s="5">
        <v>15235</v>
      </c>
    </row>
    <row r="1060" spans="1:12" x14ac:dyDescent="0.25">
      <c r="A1060" s="3" t="s">
        <v>1057</v>
      </c>
      <c r="B1060" s="4" t="s">
        <v>3125</v>
      </c>
      <c r="C1060" s="4" t="s">
        <v>14</v>
      </c>
      <c r="D1060" s="4" t="s">
        <v>15</v>
      </c>
      <c r="E1060" s="5" t="str">
        <f>"9050955"</f>
        <v>9050955</v>
      </c>
      <c r="F1060" s="3" t="s">
        <v>3409</v>
      </c>
      <c r="G1060" s="5">
        <v>2108024454</v>
      </c>
      <c r="H1060" s="4" t="s">
        <v>3410</v>
      </c>
      <c r="I1060" s="4" t="s">
        <v>3150</v>
      </c>
      <c r="J1060" s="4" t="s">
        <v>3151</v>
      </c>
      <c r="K1060" s="4" t="s">
        <v>3411</v>
      </c>
      <c r="L1060" s="5">
        <v>15126</v>
      </c>
    </row>
    <row r="1061" spans="1:12" x14ac:dyDescent="0.25">
      <c r="A1061" s="3" t="s">
        <v>1057</v>
      </c>
      <c r="B1061" s="4" t="s">
        <v>3125</v>
      </c>
      <c r="C1061" s="4" t="s">
        <v>25</v>
      </c>
      <c r="D1061" s="4" t="s">
        <v>26</v>
      </c>
      <c r="E1061" s="5" t="str">
        <f>"9051582"</f>
        <v>9051582</v>
      </c>
      <c r="F1061" s="3" t="s">
        <v>3412</v>
      </c>
      <c r="G1061" s="5">
        <v>2102812502</v>
      </c>
      <c r="H1061" s="4" t="s">
        <v>3413</v>
      </c>
      <c r="I1061" s="4" t="s">
        <v>3212</v>
      </c>
      <c r="J1061" s="4" t="s">
        <v>3414</v>
      </c>
      <c r="K1061" s="4" t="s">
        <v>3415</v>
      </c>
      <c r="L1061" s="5">
        <v>14123</v>
      </c>
    </row>
    <row r="1062" spans="1:12" x14ac:dyDescent="0.25">
      <c r="A1062" s="3" t="s">
        <v>1057</v>
      </c>
      <c r="B1062" s="4" t="s">
        <v>3125</v>
      </c>
      <c r="C1062" s="4" t="s">
        <v>25</v>
      </c>
      <c r="D1062" s="4" t="s">
        <v>26</v>
      </c>
      <c r="E1062" s="5" t="str">
        <f>"9050775"</f>
        <v>9050775</v>
      </c>
      <c r="F1062" s="3" t="s">
        <v>3416</v>
      </c>
      <c r="G1062" s="5">
        <v>2102842003</v>
      </c>
      <c r="H1062" s="4" t="s">
        <v>3417</v>
      </c>
      <c r="I1062" s="4" t="s">
        <v>3188</v>
      </c>
      <c r="J1062" s="4" t="s">
        <v>3391</v>
      </c>
      <c r="K1062" s="4" t="s">
        <v>3418</v>
      </c>
      <c r="L1062" s="5">
        <v>14451</v>
      </c>
    </row>
    <row r="1063" spans="1:12" x14ac:dyDescent="0.25">
      <c r="A1063" s="3" t="s">
        <v>1057</v>
      </c>
      <c r="B1063" s="4" t="s">
        <v>3125</v>
      </c>
      <c r="C1063" s="4" t="s">
        <v>25</v>
      </c>
      <c r="D1063" s="4" t="s">
        <v>26</v>
      </c>
      <c r="E1063" s="5" t="str">
        <f>"9051215"</f>
        <v>9051215</v>
      </c>
      <c r="F1063" s="3" t="s">
        <v>3419</v>
      </c>
      <c r="G1063" s="5">
        <v>2102829180</v>
      </c>
      <c r="H1063" s="4" t="s">
        <v>3420</v>
      </c>
      <c r="I1063" s="4" t="s">
        <v>3188</v>
      </c>
      <c r="J1063" s="4" t="s">
        <v>3391</v>
      </c>
      <c r="K1063" s="4" t="s">
        <v>3421</v>
      </c>
      <c r="L1063" s="5">
        <v>14451</v>
      </c>
    </row>
    <row r="1064" spans="1:12" x14ac:dyDescent="0.25">
      <c r="A1064" s="3" t="s">
        <v>1057</v>
      </c>
      <c r="B1064" s="4" t="s">
        <v>3125</v>
      </c>
      <c r="C1064" s="4" t="s">
        <v>25</v>
      </c>
      <c r="D1064" s="4" t="s">
        <v>26</v>
      </c>
      <c r="E1064" s="5" t="str">
        <f>"9051039"</f>
        <v>9051039</v>
      </c>
      <c r="F1064" s="3" t="s">
        <v>3422</v>
      </c>
      <c r="G1064" s="5">
        <v>2102827963</v>
      </c>
      <c r="H1064" s="4" t="s">
        <v>3423</v>
      </c>
      <c r="I1064" s="4" t="s">
        <v>3188</v>
      </c>
      <c r="J1064" s="4" t="s">
        <v>3391</v>
      </c>
      <c r="K1064" s="4" t="s">
        <v>3424</v>
      </c>
      <c r="L1064" s="5">
        <v>14451</v>
      </c>
    </row>
    <row r="1065" spans="1:12" x14ac:dyDescent="0.25">
      <c r="A1065" s="3" t="s">
        <v>1057</v>
      </c>
      <c r="B1065" s="4" t="s">
        <v>3125</v>
      </c>
      <c r="C1065" s="4" t="s">
        <v>14</v>
      </c>
      <c r="D1065" s="4" t="s">
        <v>15</v>
      </c>
      <c r="E1065" s="5" t="str">
        <f>"9050041"</f>
        <v>9050041</v>
      </c>
      <c r="F1065" s="3" t="s">
        <v>3425</v>
      </c>
      <c r="G1065" s="5">
        <v>2108011702</v>
      </c>
      <c r="H1065" s="4" t="s">
        <v>3426</v>
      </c>
      <c r="I1065" s="4" t="s">
        <v>3202</v>
      </c>
      <c r="J1065" s="4" t="s">
        <v>3203</v>
      </c>
      <c r="K1065" s="4" t="s">
        <v>3427</v>
      </c>
      <c r="L1065" s="5">
        <v>14562</v>
      </c>
    </row>
    <row r="1066" spans="1:12" x14ac:dyDescent="0.25">
      <c r="A1066" s="3" t="s">
        <v>1057</v>
      </c>
      <c r="B1066" s="4" t="s">
        <v>3125</v>
      </c>
      <c r="C1066" s="4" t="s">
        <v>25</v>
      </c>
      <c r="D1066" s="4" t="s">
        <v>26</v>
      </c>
      <c r="E1066" s="5" t="str">
        <f>"9051583"</f>
        <v>9051583</v>
      </c>
      <c r="F1066" s="3" t="s">
        <v>3428</v>
      </c>
      <c r="G1066" s="5">
        <v>2108047007</v>
      </c>
      <c r="H1066" s="4" t="s">
        <v>3429</v>
      </c>
      <c r="I1066" s="4" t="s">
        <v>3171</v>
      </c>
      <c r="J1066" s="4" t="s">
        <v>3172</v>
      </c>
      <c r="K1066" s="4" t="s">
        <v>3430</v>
      </c>
      <c r="L1066" s="5">
        <v>15127</v>
      </c>
    </row>
    <row r="1067" spans="1:12" x14ac:dyDescent="0.25">
      <c r="A1067" s="3" t="s">
        <v>1057</v>
      </c>
      <c r="B1067" s="4" t="s">
        <v>3125</v>
      </c>
      <c r="C1067" s="4" t="s">
        <v>25</v>
      </c>
      <c r="D1067" s="4" t="s">
        <v>26</v>
      </c>
      <c r="E1067" s="5" t="str">
        <f>"9050707"</f>
        <v>9050707</v>
      </c>
      <c r="F1067" s="3" t="s">
        <v>3431</v>
      </c>
      <c r="G1067" s="5">
        <v>2106821009</v>
      </c>
      <c r="H1067" s="4" t="s">
        <v>3432</v>
      </c>
      <c r="I1067" s="4" t="s">
        <v>3150</v>
      </c>
      <c r="J1067" s="4" t="s">
        <v>3150</v>
      </c>
      <c r="K1067" s="4" t="s">
        <v>3433</v>
      </c>
      <c r="L1067" s="5">
        <v>15124</v>
      </c>
    </row>
    <row r="1068" spans="1:12" x14ac:dyDescent="0.25">
      <c r="A1068" s="3" t="s">
        <v>1057</v>
      </c>
      <c r="B1068" s="4" t="s">
        <v>3125</v>
      </c>
      <c r="C1068" s="4" t="s">
        <v>25</v>
      </c>
      <c r="D1068" s="4" t="s">
        <v>26</v>
      </c>
      <c r="E1068" s="5" t="str">
        <f>"9050048"</f>
        <v>9050048</v>
      </c>
      <c r="F1068" s="3" t="s">
        <v>3434</v>
      </c>
      <c r="G1068" s="5">
        <v>2108079552</v>
      </c>
      <c r="H1068" s="4" t="s">
        <v>3435</v>
      </c>
      <c r="I1068" s="4" t="s">
        <v>3202</v>
      </c>
      <c r="J1068" s="4" t="s">
        <v>3436</v>
      </c>
      <c r="K1068" s="4" t="s">
        <v>3437</v>
      </c>
      <c r="L1068" s="5">
        <v>14671</v>
      </c>
    </row>
    <row r="1069" spans="1:12" x14ac:dyDescent="0.25">
      <c r="A1069" s="3" t="s">
        <v>1057</v>
      </c>
      <c r="B1069" s="4" t="s">
        <v>3125</v>
      </c>
      <c r="C1069" s="4" t="s">
        <v>25</v>
      </c>
      <c r="D1069" s="4" t="s">
        <v>26</v>
      </c>
      <c r="E1069" s="5" t="str">
        <f>"9050712"</f>
        <v>9050712</v>
      </c>
      <c r="F1069" s="3" t="s">
        <v>3438</v>
      </c>
      <c r="G1069" s="5">
        <v>2108023670</v>
      </c>
      <c r="H1069" s="4" t="s">
        <v>3439</v>
      </c>
      <c r="I1069" s="4" t="s">
        <v>3212</v>
      </c>
      <c r="J1069" s="4" t="s">
        <v>3213</v>
      </c>
      <c r="K1069" s="4" t="s">
        <v>3440</v>
      </c>
      <c r="L1069" s="5">
        <v>15121</v>
      </c>
    </row>
    <row r="1070" spans="1:12" x14ac:dyDescent="0.25">
      <c r="A1070" s="3" t="s">
        <v>1057</v>
      </c>
      <c r="B1070" s="4" t="s">
        <v>3125</v>
      </c>
      <c r="C1070" s="4" t="s">
        <v>25</v>
      </c>
      <c r="D1070" s="4" t="s">
        <v>26</v>
      </c>
      <c r="E1070" s="5" t="str">
        <f>"9050703"</f>
        <v>9050703</v>
      </c>
      <c r="F1070" s="3" t="s">
        <v>3441</v>
      </c>
      <c r="G1070" s="5">
        <v>2108024928</v>
      </c>
      <c r="H1070" s="4" t="s">
        <v>3442</v>
      </c>
      <c r="I1070" s="4" t="s">
        <v>3150</v>
      </c>
      <c r="J1070" s="4" t="s">
        <v>3151</v>
      </c>
      <c r="K1070" s="4" t="s">
        <v>3329</v>
      </c>
      <c r="L1070" s="5">
        <v>15124</v>
      </c>
    </row>
    <row r="1071" spans="1:12" x14ac:dyDescent="0.25">
      <c r="A1071" s="3" t="s">
        <v>1057</v>
      </c>
      <c r="B1071" s="4" t="s">
        <v>3125</v>
      </c>
      <c r="C1071" s="4" t="s">
        <v>25</v>
      </c>
      <c r="D1071" s="4" t="s">
        <v>26</v>
      </c>
      <c r="E1071" s="5" t="str">
        <f>"9050472"</f>
        <v>9050472</v>
      </c>
      <c r="F1071" s="3" t="s">
        <v>3443</v>
      </c>
      <c r="G1071" s="5">
        <v>2102773295</v>
      </c>
      <c r="H1071" s="4" t="s">
        <v>3444</v>
      </c>
      <c r="I1071" s="4" t="s">
        <v>3193</v>
      </c>
      <c r="J1071" s="4" t="s">
        <v>3354</v>
      </c>
      <c r="K1071" s="4" t="s">
        <v>3445</v>
      </c>
      <c r="L1071" s="5">
        <v>14121</v>
      </c>
    </row>
    <row r="1072" spans="1:12" x14ac:dyDescent="0.25">
      <c r="A1072" s="3" t="s">
        <v>1057</v>
      </c>
      <c r="B1072" s="4" t="s">
        <v>3125</v>
      </c>
      <c r="C1072" s="4" t="s">
        <v>14</v>
      </c>
      <c r="D1072" s="4" t="s">
        <v>15</v>
      </c>
      <c r="E1072" s="5" t="str">
        <f>"9050058"</f>
        <v>9050058</v>
      </c>
      <c r="F1072" s="3" t="s">
        <v>3446</v>
      </c>
      <c r="G1072" s="5">
        <v>2106812906</v>
      </c>
      <c r="H1072" s="4" t="s">
        <v>3447</v>
      </c>
      <c r="I1072" s="4" t="s">
        <v>3133</v>
      </c>
      <c r="J1072" s="4" t="s">
        <v>3448</v>
      </c>
      <c r="K1072" s="4" t="s">
        <v>3449</v>
      </c>
      <c r="L1072" s="5">
        <v>15237</v>
      </c>
    </row>
    <row r="1073" spans="1:12" x14ac:dyDescent="0.25">
      <c r="A1073" s="3" t="s">
        <v>1057</v>
      </c>
      <c r="B1073" s="4" t="s">
        <v>3125</v>
      </c>
      <c r="C1073" s="4" t="s">
        <v>14</v>
      </c>
      <c r="D1073" s="4" t="s">
        <v>15</v>
      </c>
      <c r="E1073" s="5" t="str">
        <f>"9050059"</f>
        <v>9050059</v>
      </c>
      <c r="F1073" s="3" t="s">
        <v>3450</v>
      </c>
      <c r="G1073" s="5">
        <v>2108041330</v>
      </c>
      <c r="H1073" s="4" t="s">
        <v>3451</v>
      </c>
      <c r="I1073" s="4" t="s">
        <v>3171</v>
      </c>
      <c r="J1073" s="4" t="s">
        <v>3452</v>
      </c>
      <c r="K1073" s="4" t="s">
        <v>3453</v>
      </c>
      <c r="L1073" s="5">
        <v>15236</v>
      </c>
    </row>
    <row r="1074" spans="1:12" x14ac:dyDescent="0.25">
      <c r="A1074" s="3" t="s">
        <v>1057</v>
      </c>
      <c r="B1074" s="4" t="s">
        <v>3125</v>
      </c>
      <c r="C1074" s="4" t="s">
        <v>25</v>
      </c>
      <c r="D1074" s="4" t="s">
        <v>26</v>
      </c>
      <c r="E1074" s="5" t="str">
        <f>"9050705"</f>
        <v>9050705</v>
      </c>
      <c r="F1074" s="3" t="s">
        <v>3454</v>
      </c>
      <c r="G1074" s="5">
        <v>2106196253</v>
      </c>
      <c r="H1074" s="4" t="s">
        <v>3455</v>
      </c>
      <c r="I1074" s="4" t="s">
        <v>3150</v>
      </c>
      <c r="J1074" s="4" t="s">
        <v>3151</v>
      </c>
      <c r="K1074" s="4" t="s">
        <v>3456</v>
      </c>
      <c r="L1074" s="5">
        <v>15125</v>
      </c>
    </row>
    <row r="1075" spans="1:12" x14ac:dyDescent="0.25">
      <c r="A1075" s="3" t="s">
        <v>1057</v>
      </c>
      <c r="B1075" s="4" t="s">
        <v>3125</v>
      </c>
      <c r="C1075" s="4" t="s">
        <v>25</v>
      </c>
      <c r="D1075" s="4" t="s">
        <v>26</v>
      </c>
      <c r="E1075" s="5" t="str">
        <f>"9051790"</f>
        <v>9051790</v>
      </c>
      <c r="F1075" s="3" t="s">
        <v>3457</v>
      </c>
      <c r="G1075" s="5">
        <v>2106007363</v>
      </c>
      <c r="H1075" s="4" t="s">
        <v>3458</v>
      </c>
      <c r="I1075" s="4" t="s">
        <v>3145</v>
      </c>
      <c r="J1075" s="4" t="s">
        <v>3167</v>
      </c>
      <c r="K1075" s="4" t="s">
        <v>3459</v>
      </c>
      <c r="L1075" s="5">
        <v>15343</v>
      </c>
    </row>
    <row r="1076" spans="1:12" x14ac:dyDescent="0.25">
      <c r="A1076" s="3" t="s">
        <v>1057</v>
      </c>
      <c r="B1076" s="4" t="s">
        <v>3125</v>
      </c>
      <c r="C1076" s="4" t="s">
        <v>25</v>
      </c>
      <c r="D1076" s="4" t="s">
        <v>26</v>
      </c>
      <c r="E1076" s="5" t="str">
        <f>"9050713"</f>
        <v>9050713</v>
      </c>
      <c r="F1076" s="3" t="s">
        <v>3460</v>
      </c>
      <c r="G1076" s="5">
        <v>2108043002</v>
      </c>
      <c r="H1076" s="4" t="s">
        <v>3461</v>
      </c>
      <c r="I1076" s="4" t="s">
        <v>3171</v>
      </c>
      <c r="J1076" s="4" t="s">
        <v>3172</v>
      </c>
      <c r="K1076" s="4" t="s">
        <v>3462</v>
      </c>
      <c r="L1076" s="5">
        <v>15127</v>
      </c>
    </row>
    <row r="1077" spans="1:12" x14ac:dyDescent="0.25">
      <c r="A1077" s="3" t="s">
        <v>1057</v>
      </c>
      <c r="B1077" s="4" t="s">
        <v>3125</v>
      </c>
      <c r="C1077" s="4" t="s">
        <v>25</v>
      </c>
      <c r="D1077" s="4" t="s">
        <v>26</v>
      </c>
      <c r="E1077" s="5" t="str">
        <f>"9050486"</f>
        <v>9050486</v>
      </c>
      <c r="F1077" s="3" t="s">
        <v>3463</v>
      </c>
      <c r="G1077" s="5">
        <v>2102798846</v>
      </c>
      <c r="H1077" s="4" t="s">
        <v>3464</v>
      </c>
      <c r="I1077" s="4" t="s">
        <v>3257</v>
      </c>
      <c r="J1077" s="4" t="s">
        <v>3258</v>
      </c>
      <c r="K1077" s="4" t="s">
        <v>3465</v>
      </c>
      <c r="L1077" s="5">
        <v>14231</v>
      </c>
    </row>
    <row r="1078" spans="1:12" x14ac:dyDescent="0.25">
      <c r="A1078" s="3" t="s">
        <v>1057</v>
      </c>
      <c r="B1078" s="4" t="s">
        <v>3125</v>
      </c>
      <c r="C1078" s="4" t="s">
        <v>25</v>
      </c>
      <c r="D1078" s="4" t="s">
        <v>26</v>
      </c>
      <c r="E1078" s="5" t="str">
        <f>"9050497"</f>
        <v>9050497</v>
      </c>
      <c r="F1078" s="3" t="s">
        <v>3466</v>
      </c>
      <c r="G1078" s="5">
        <v>2102777889</v>
      </c>
      <c r="H1078" s="4" t="s">
        <v>3467</v>
      </c>
      <c r="I1078" s="4" t="s">
        <v>3257</v>
      </c>
      <c r="J1078" s="4" t="s">
        <v>3468</v>
      </c>
      <c r="K1078" s="4" t="s">
        <v>3469</v>
      </c>
      <c r="L1078" s="5">
        <v>14234</v>
      </c>
    </row>
    <row r="1079" spans="1:12" x14ac:dyDescent="0.25">
      <c r="A1079" s="3" t="s">
        <v>1057</v>
      </c>
      <c r="B1079" s="4" t="s">
        <v>3125</v>
      </c>
      <c r="C1079" s="4" t="s">
        <v>25</v>
      </c>
      <c r="D1079" s="4" t="s">
        <v>26</v>
      </c>
      <c r="E1079" s="5" t="str">
        <f>"9050722"</f>
        <v>9050722</v>
      </c>
      <c r="F1079" s="3" t="s">
        <v>3470</v>
      </c>
      <c r="G1079" s="5">
        <v>2106517006</v>
      </c>
      <c r="H1079" s="4" t="s">
        <v>3471</v>
      </c>
      <c r="I1079" s="4" t="s">
        <v>3207</v>
      </c>
      <c r="J1079" s="4" t="s">
        <v>3208</v>
      </c>
      <c r="K1079" s="4" t="s">
        <v>3472</v>
      </c>
      <c r="L1079" s="5">
        <v>15562</v>
      </c>
    </row>
    <row r="1080" spans="1:12" x14ac:dyDescent="0.25">
      <c r="A1080" s="3" t="s">
        <v>1057</v>
      </c>
      <c r="B1080" s="4" t="s">
        <v>3125</v>
      </c>
      <c r="C1080" s="4" t="s">
        <v>25</v>
      </c>
      <c r="D1080" s="4" t="s">
        <v>26</v>
      </c>
      <c r="E1080" s="5" t="str">
        <f>"9051577"</f>
        <v>9051577</v>
      </c>
      <c r="F1080" s="3" t="s">
        <v>3473</v>
      </c>
      <c r="G1080" s="5"/>
      <c r="H1080" s="4" t="s">
        <v>3474</v>
      </c>
      <c r="I1080" s="4" t="s">
        <v>3145</v>
      </c>
      <c r="J1080" s="4" t="s">
        <v>3167</v>
      </c>
      <c r="K1080" s="4" t="s">
        <v>3475</v>
      </c>
      <c r="L1080" s="5">
        <v>15341</v>
      </c>
    </row>
    <row r="1081" spans="1:12" x14ac:dyDescent="0.25">
      <c r="A1081" s="3" t="s">
        <v>1057</v>
      </c>
      <c r="B1081" s="4" t="s">
        <v>3125</v>
      </c>
      <c r="C1081" s="4" t="s">
        <v>25</v>
      </c>
      <c r="D1081" s="4" t="s">
        <v>26</v>
      </c>
      <c r="E1081" s="5" t="str">
        <f>"9051028"</f>
        <v>9051028</v>
      </c>
      <c r="F1081" s="3" t="s">
        <v>3476</v>
      </c>
      <c r="G1081" s="5">
        <v>2106545950</v>
      </c>
      <c r="H1081" s="4" t="s">
        <v>3477</v>
      </c>
      <c r="I1081" s="4" t="s">
        <v>3207</v>
      </c>
      <c r="J1081" s="4" t="s">
        <v>3208</v>
      </c>
      <c r="K1081" s="4" t="s">
        <v>3478</v>
      </c>
      <c r="L1081" s="5">
        <v>15562</v>
      </c>
    </row>
    <row r="1082" spans="1:12" x14ac:dyDescent="0.25">
      <c r="A1082" s="3" t="s">
        <v>1057</v>
      </c>
      <c r="B1082" s="4" t="s">
        <v>3125</v>
      </c>
      <c r="C1082" s="4" t="s">
        <v>25</v>
      </c>
      <c r="D1082" s="4" t="s">
        <v>26</v>
      </c>
      <c r="E1082" s="5" t="str">
        <f>"9051402"</f>
        <v>9051402</v>
      </c>
      <c r="F1082" s="3" t="s">
        <v>3479</v>
      </c>
      <c r="G1082" s="5">
        <v>2106531483</v>
      </c>
      <c r="H1082" s="4" t="s">
        <v>3480</v>
      </c>
      <c r="I1082" s="4" t="s">
        <v>3145</v>
      </c>
      <c r="J1082" s="4" t="s">
        <v>3167</v>
      </c>
      <c r="K1082" s="4" t="s">
        <v>3481</v>
      </c>
      <c r="L1082" s="5">
        <v>15341</v>
      </c>
    </row>
    <row r="1083" spans="1:12" x14ac:dyDescent="0.25">
      <c r="A1083" s="3" t="s">
        <v>1057</v>
      </c>
      <c r="B1083" s="4" t="s">
        <v>3125</v>
      </c>
      <c r="C1083" s="4" t="s">
        <v>14</v>
      </c>
      <c r="D1083" s="4" t="s">
        <v>15</v>
      </c>
      <c r="E1083" s="5" t="str">
        <f>"9050060"</f>
        <v>9050060</v>
      </c>
      <c r="F1083" s="3" t="s">
        <v>3482</v>
      </c>
      <c r="G1083" s="5">
        <v>2108043291</v>
      </c>
      <c r="H1083" s="4" t="s">
        <v>3483</v>
      </c>
      <c r="I1083" s="4" t="s">
        <v>3128</v>
      </c>
      <c r="J1083" s="4" t="s">
        <v>3129</v>
      </c>
      <c r="K1083" s="4" t="s">
        <v>3484</v>
      </c>
      <c r="L1083" s="5">
        <v>15235</v>
      </c>
    </row>
    <row r="1084" spans="1:12" x14ac:dyDescent="0.25">
      <c r="A1084" s="3" t="s">
        <v>1057</v>
      </c>
      <c r="B1084" s="4" t="s">
        <v>3125</v>
      </c>
      <c r="C1084" s="4" t="s">
        <v>25</v>
      </c>
      <c r="D1084" s="4" t="s">
        <v>26</v>
      </c>
      <c r="E1084" s="5" t="str">
        <f>"9051422"</f>
        <v>9051422</v>
      </c>
      <c r="F1084" s="3" t="s">
        <v>3485</v>
      </c>
      <c r="G1084" s="5">
        <v>2114181455</v>
      </c>
      <c r="H1084" s="4" t="s">
        <v>3486</v>
      </c>
      <c r="I1084" s="4" t="s">
        <v>3150</v>
      </c>
      <c r="J1084" s="4" t="s">
        <v>3151</v>
      </c>
      <c r="K1084" s="4" t="s">
        <v>3487</v>
      </c>
      <c r="L1084" s="5">
        <v>15124</v>
      </c>
    </row>
    <row r="1085" spans="1:12" x14ac:dyDescent="0.25">
      <c r="A1085" s="3" t="s">
        <v>1057</v>
      </c>
      <c r="B1085" s="4" t="s">
        <v>3125</v>
      </c>
      <c r="C1085" s="4" t="s">
        <v>14</v>
      </c>
      <c r="D1085" s="4" t="s">
        <v>15</v>
      </c>
      <c r="E1085" s="5" t="str">
        <f>"9050902"</f>
        <v>9050902</v>
      </c>
      <c r="F1085" s="3" t="s">
        <v>3488</v>
      </c>
      <c r="G1085" s="5">
        <v>2106517450</v>
      </c>
      <c r="H1085" s="4" t="s">
        <v>3489</v>
      </c>
      <c r="I1085" s="4" t="s">
        <v>3207</v>
      </c>
      <c r="J1085" s="4" t="s">
        <v>3278</v>
      </c>
      <c r="K1085" s="4" t="s">
        <v>3490</v>
      </c>
      <c r="L1085" s="5">
        <v>15669</v>
      </c>
    </row>
    <row r="1086" spans="1:12" x14ac:dyDescent="0.25">
      <c r="A1086" s="3" t="s">
        <v>1057</v>
      </c>
      <c r="B1086" s="4" t="s">
        <v>3125</v>
      </c>
      <c r="C1086" s="4" t="s">
        <v>14</v>
      </c>
      <c r="D1086" s="4" t="s">
        <v>15</v>
      </c>
      <c r="E1086" s="5" t="str">
        <f>"9051485"</f>
        <v>9051485</v>
      </c>
      <c r="F1086" s="3" t="s">
        <v>3491</v>
      </c>
      <c r="G1086" s="5">
        <v>2106561882</v>
      </c>
      <c r="H1086" s="4" t="s">
        <v>3492</v>
      </c>
      <c r="I1086" s="4" t="s">
        <v>3207</v>
      </c>
      <c r="J1086" s="4" t="s">
        <v>3278</v>
      </c>
      <c r="K1086" s="4" t="s">
        <v>3490</v>
      </c>
      <c r="L1086" s="5">
        <v>15669</v>
      </c>
    </row>
    <row r="1087" spans="1:12" x14ac:dyDescent="0.25">
      <c r="A1087" s="3" t="s">
        <v>1057</v>
      </c>
      <c r="B1087" s="4" t="s">
        <v>3125</v>
      </c>
      <c r="C1087" s="4" t="s">
        <v>25</v>
      </c>
      <c r="D1087" s="4" t="s">
        <v>26</v>
      </c>
      <c r="E1087" s="5" t="str">
        <f>"9050501"</f>
        <v>9050501</v>
      </c>
      <c r="F1087" s="3" t="s">
        <v>3493</v>
      </c>
      <c r="G1087" s="5">
        <v>2102754570</v>
      </c>
      <c r="H1087" s="4" t="s">
        <v>3494</v>
      </c>
      <c r="I1087" s="4" t="s">
        <v>3257</v>
      </c>
      <c r="J1087" s="4" t="s">
        <v>3258</v>
      </c>
      <c r="K1087" s="4" t="s">
        <v>3495</v>
      </c>
      <c r="L1087" s="5">
        <v>14233</v>
      </c>
    </row>
    <row r="1088" spans="1:12" x14ac:dyDescent="0.25">
      <c r="A1088" s="3" t="s">
        <v>1057</v>
      </c>
      <c r="B1088" s="4" t="s">
        <v>3125</v>
      </c>
      <c r="C1088" s="4" t="s">
        <v>25</v>
      </c>
      <c r="D1088" s="4" t="s">
        <v>26</v>
      </c>
      <c r="E1088" s="5" t="str">
        <f>"9051862"</f>
        <v>9051862</v>
      </c>
      <c r="F1088" s="3" t="s">
        <v>3496</v>
      </c>
      <c r="G1088" s="5">
        <v>2108024383</v>
      </c>
      <c r="H1088" s="4" t="s">
        <v>3497</v>
      </c>
      <c r="I1088" s="4" t="s">
        <v>3212</v>
      </c>
      <c r="J1088" s="4" t="s">
        <v>3213</v>
      </c>
      <c r="K1088" s="4" t="s">
        <v>3498</v>
      </c>
      <c r="L1088" s="5">
        <v>15121</v>
      </c>
    </row>
    <row r="1089" spans="1:12" x14ac:dyDescent="0.25">
      <c r="A1089" s="3" t="s">
        <v>1057</v>
      </c>
      <c r="B1089" s="4" t="s">
        <v>3125</v>
      </c>
      <c r="C1089" s="4" t="s">
        <v>25</v>
      </c>
      <c r="D1089" s="4" t="s">
        <v>26</v>
      </c>
      <c r="E1089" s="5" t="str">
        <f>"9051295"</f>
        <v>9051295</v>
      </c>
      <c r="F1089" s="3" t="s">
        <v>3499</v>
      </c>
      <c r="G1089" s="5">
        <v>2108066000</v>
      </c>
      <c r="H1089" s="4" t="s">
        <v>3500</v>
      </c>
      <c r="I1089" s="4" t="s">
        <v>3212</v>
      </c>
      <c r="J1089" s="4" t="s">
        <v>3213</v>
      </c>
      <c r="K1089" s="4" t="s">
        <v>3501</v>
      </c>
      <c r="L1089" s="5">
        <v>15121</v>
      </c>
    </row>
    <row r="1090" spans="1:12" x14ac:dyDescent="0.25">
      <c r="A1090" s="3" t="s">
        <v>1057</v>
      </c>
      <c r="B1090" s="4" t="s">
        <v>3125</v>
      </c>
      <c r="C1090" s="4" t="s">
        <v>25</v>
      </c>
      <c r="D1090" s="4" t="s">
        <v>26</v>
      </c>
      <c r="E1090" s="5" t="str">
        <f>"9050708"</f>
        <v>9050708</v>
      </c>
      <c r="F1090" s="3" t="s">
        <v>3502</v>
      </c>
      <c r="G1090" s="5">
        <v>2108017267</v>
      </c>
      <c r="H1090" s="4" t="s">
        <v>3503</v>
      </c>
      <c r="I1090" s="4" t="s">
        <v>3202</v>
      </c>
      <c r="J1090" s="4" t="s">
        <v>3203</v>
      </c>
      <c r="K1090" s="4" t="s">
        <v>3504</v>
      </c>
      <c r="L1090" s="5">
        <v>14562</v>
      </c>
    </row>
    <row r="1091" spans="1:12" x14ac:dyDescent="0.25">
      <c r="A1091" s="3" t="s">
        <v>1057</v>
      </c>
      <c r="B1091" s="4" t="s">
        <v>3125</v>
      </c>
      <c r="C1091" s="4" t="s">
        <v>14</v>
      </c>
      <c r="D1091" s="4" t="s">
        <v>15</v>
      </c>
      <c r="E1091" s="5" t="str">
        <f>"9051266"</f>
        <v>9051266</v>
      </c>
      <c r="F1091" s="3" t="s">
        <v>3505</v>
      </c>
      <c r="G1091" s="5">
        <v>2106012394</v>
      </c>
      <c r="H1091" s="4" t="s">
        <v>3506</v>
      </c>
      <c r="I1091" s="4" t="s">
        <v>3128</v>
      </c>
      <c r="J1091" s="4" t="s">
        <v>3129</v>
      </c>
      <c r="K1091" s="4" t="s">
        <v>3507</v>
      </c>
      <c r="L1091" s="5">
        <v>15235</v>
      </c>
    </row>
    <row r="1092" spans="1:12" x14ac:dyDescent="0.25">
      <c r="A1092" s="3" t="s">
        <v>1057</v>
      </c>
      <c r="B1092" s="4" t="s">
        <v>3125</v>
      </c>
      <c r="C1092" s="4" t="s">
        <v>14</v>
      </c>
      <c r="D1092" s="4" t="s">
        <v>15</v>
      </c>
      <c r="E1092" s="5" t="str">
        <f>"9050025"</f>
        <v>9050025</v>
      </c>
      <c r="F1092" s="3" t="s">
        <v>3508</v>
      </c>
      <c r="G1092" s="5">
        <v>2106715210</v>
      </c>
      <c r="H1092" s="4" t="s">
        <v>3509</v>
      </c>
      <c r="I1092" s="4" t="s">
        <v>3133</v>
      </c>
      <c r="J1092" s="4" t="s">
        <v>3510</v>
      </c>
      <c r="K1092" s="4" t="s">
        <v>3511</v>
      </c>
      <c r="L1092" s="5">
        <v>11525</v>
      </c>
    </row>
    <row r="1093" spans="1:12" x14ac:dyDescent="0.25">
      <c r="A1093" s="3" t="s">
        <v>1057</v>
      </c>
      <c r="B1093" s="4" t="s">
        <v>3125</v>
      </c>
      <c r="C1093" s="4" t="s">
        <v>25</v>
      </c>
      <c r="D1093" s="4" t="s">
        <v>26</v>
      </c>
      <c r="E1093" s="5" t="str">
        <f>"9051449"</f>
        <v>9051449</v>
      </c>
      <c r="F1093" s="3" t="s">
        <v>3512</v>
      </c>
      <c r="G1093" s="5">
        <v>2108061241</v>
      </c>
      <c r="H1093" s="4" t="s">
        <v>3513</v>
      </c>
      <c r="I1093" s="4" t="s">
        <v>3212</v>
      </c>
      <c r="J1093" s="4" t="s">
        <v>3213</v>
      </c>
      <c r="K1093" s="4" t="s">
        <v>3514</v>
      </c>
      <c r="L1093" s="5">
        <v>15121</v>
      </c>
    </row>
    <row r="1094" spans="1:12" x14ac:dyDescent="0.25">
      <c r="A1094" s="3" t="s">
        <v>1057</v>
      </c>
      <c r="B1094" s="4" t="s">
        <v>3125</v>
      </c>
      <c r="C1094" s="4" t="s">
        <v>25</v>
      </c>
      <c r="D1094" s="4" t="s">
        <v>26</v>
      </c>
      <c r="E1094" s="5" t="str">
        <f>"9051426"</f>
        <v>9051426</v>
      </c>
      <c r="F1094" s="3" t="s">
        <v>3515</v>
      </c>
      <c r="G1094" s="5">
        <v>2102777889</v>
      </c>
      <c r="H1094" s="4" t="s">
        <v>3516</v>
      </c>
      <c r="I1094" s="4" t="s">
        <v>3257</v>
      </c>
      <c r="J1094" s="4" t="s">
        <v>3257</v>
      </c>
      <c r="K1094" s="4" t="s">
        <v>3469</v>
      </c>
      <c r="L1094" s="5">
        <v>14234</v>
      </c>
    </row>
    <row r="1095" spans="1:12" x14ac:dyDescent="0.25">
      <c r="A1095" s="3" t="s">
        <v>1057</v>
      </c>
      <c r="B1095" s="4" t="s">
        <v>3125</v>
      </c>
      <c r="C1095" s="4" t="s">
        <v>25</v>
      </c>
      <c r="D1095" s="4" t="s">
        <v>26</v>
      </c>
      <c r="E1095" s="5" t="str">
        <f>"9051456"</f>
        <v>9051456</v>
      </c>
      <c r="F1095" s="3" t="s">
        <v>3517</v>
      </c>
      <c r="G1095" s="5">
        <v>2102777889</v>
      </c>
      <c r="H1095" s="4" t="s">
        <v>3518</v>
      </c>
      <c r="I1095" s="4" t="s">
        <v>3257</v>
      </c>
      <c r="J1095" s="4" t="s">
        <v>3257</v>
      </c>
      <c r="K1095" s="4" t="s">
        <v>3469</v>
      </c>
      <c r="L1095" s="5">
        <v>14234</v>
      </c>
    </row>
    <row r="1096" spans="1:12" x14ac:dyDescent="0.25">
      <c r="A1096" s="3" t="s">
        <v>1057</v>
      </c>
      <c r="B1096" s="4" t="s">
        <v>3125</v>
      </c>
      <c r="C1096" s="4" t="s">
        <v>14</v>
      </c>
      <c r="D1096" s="4" t="s">
        <v>15</v>
      </c>
      <c r="E1096" s="5" t="str">
        <f>"9050953"</f>
        <v>9050953</v>
      </c>
      <c r="F1096" s="3" t="s">
        <v>3519</v>
      </c>
      <c r="G1096" s="5">
        <v>2106710275</v>
      </c>
      <c r="H1096" s="4" t="s">
        <v>3520</v>
      </c>
      <c r="I1096" s="4" t="s">
        <v>3133</v>
      </c>
      <c r="J1096" s="4" t="s">
        <v>3138</v>
      </c>
      <c r="K1096" s="4" t="s">
        <v>3521</v>
      </c>
      <c r="L1096" s="5">
        <v>11525</v>
      </c>
    </row>
    <row r="1097" spans="1:12" x14ac:dyDescent="0.25">
      <c r="A1097" s="3" t="s">
        <v>1057</v>
      </c>
      <c r="B1097" s="4" t="s">
        <v>3125</v>
      </c>
      <c r="C1097" s="4" t="s">
        <v>25</v>
      </c>
      <c r="D1097" s="4" t="s">
        <v>26</v>
      </c>
      <c r="E1097" s="5" t="str">
        <f>"9050505"</f>
        <v>9050505</v>
      </c>
      <c r="F1097" s="3" t="s">
        <v>3522</v>
      </c>
      <c r="G1097" s="5">
        <v>2102530928</v>
      </c>
      <c r="H1097" s="4" t="s">
        <v>3523</v>
      </c>
      <c r="I1097" s="4" t="s">
        <v>3257</v>
      </c>
      <c r="J1097" s="4" t="s">
        <v>3258</v>
      </c>
      <c r="K1097" s="4" t="s">
        <v>3524</v>
      </c>
      <c r="L1097" s="5">
        <v>14232</v>
      </c>
    </row>
    <row r="1098" spans="1:12" x14ac:dyDescent="0.25">
      <c r="A1098" s="3" t="s">
        <v>1057</v>
      </c>
      <c r="B1098" s="4" t="s">
        <v>3125</v>
      </c>
      <c r="C1098" s="4" t="s">
        <v>14</v>
      </c>
      <c r="D1098" s="4" t="s">
        <v>15</v>
      </c>
      <c r="E1098" s="5" t="str">
        <f>"9051855"</f>
        <v>9051855</v>
      </c>
      <c r="F1098" s="3" t="s">
        <v>3525</v>
      </c>
      <c r="G1098" s="5">
        <v>2106131132</v>
      </c>
      <c r="H1098" s="4" t="s">
        <v>3526</v>
      </c>
      <c r="I1098" s="4" t="s">
        <v>3128</v>
      </c>
      <c r="J1098" s="4" t="s">
        <v>3129</v>
      </c>
      <c r="K1098" s="4" t="s">
        <v>3527</v>
      </c>
      <c r="L1098" s="5">
        <v>15235</v>
      </c>
    </row>
    <row r="1099" spans="1:12" x14ac:dyDescent="0.25">
      <c r="A1099" s="3" t="s">
        <v>1057</v>
      </c>
      <c r="B1099" s="4" t="s">
        <v>3125</v>
      </c>
      <c r="C1099" s="4" t="s">
        <v>14</v>
      </c>
      <c r="D1099" s="4" t="s">
        <v>15</v>
      </c>
      <c r="E1099" s="5" t="str">
        <f>"9520567"</f>
        <v>9520567</v>
      </c>
      <c r="F1099" s="3" t="s">
        <v>3528</v>
      </c>
      <c r="G1099" s="5">
        <v>2108105220</v>
      </c>
      <c r="H1099" s="4" t="s">
        <v>3529</v>
      </c>
      <c r="I1099" s="4" t="s">
        <v>3128</v>
      </c>
      <c r="J1099" s="4" t="s">
        <v>3129</v>
      </c>
      <c r="K1099" s="4" t="s">
        <v>3530</v>
      </c>
      <c r="L1099" s="5">
        <v>15235</v>
      </c>
    </row>
    <row r="1100" spans="1:12" x14ac:dyDescent="0.25">
      <c r="A1100" s="3" t="s">
        <v>1057</v>
      </c>
      <c r="B1100" s="4" t="s">
        <v>3125</v>
      </c>
      <c r="C1100" s="4" t="s">
        <v>14</v>
      </c>
      <c r="D1100" s="4" t="s">
        <v>15</v>
      </c>
      <c r="E1100" s="5" t="str">
        <f>"9050075"</f>
        <v>9050075</v>
      </c>
      <c r="F1100" s="3" t="s">
        <v>3531</v>
      </c>
      <c r="G1100" s="5">
        <v>2106714497</v>
      </c>
      <c r="H1100" s="4" t="s">
        <v>3532</v>
      </c>
      <c r="I1100" s="4" t="s">
        <v>3286</v>
      </c>
      <c r="J1100" s="4" t="s">
        <v>3287</v>
      </c>
      <c r="K1100" s="4" t="s">
        <v>3533</v>
      </c>
      <c r="L1100" s="5">
        <v>15231</v>
      </c>
    </row>
    <row r="1101" spans="1:12" x14ac:dyDescent="0.25">
      <c r="A1101" s="3" t="s">
        <v>1057</v>
      </c>
      <c r="B1101" s="4" t="s">
        <v>3125</v>
      </c>
      <c r="C1101" s="4" t="s">
        <v>14</v>
      </c>
      <c r="D1101" s="4" t="s">
        <v>15</v>
      </c>
      <c r="E1101" s="5" t="str">
        <f>"9050077"</f>
        <v>9050077</v>
      </c>
      <c r="F1101" s="3" t="s">
        <v>3534</v>
      </c>
      <c r="G1101" s="5">
        <v>2106832871</v>
      </c>
      <c r="H1101" s="4" t="s">
        <v>3535</v>
      </c>
      <c r="I1101" s="4" t="s">
        <v>3286</v>
      </c>
      <c r="J1101" s="4" t="s">
        <v>3287</v>
      </c>
      <c r="K1101" s="4" t="s">
        <v>3536</v>
      </c>
      <c r="L1101" s="5">
        <v>15233</v>
      </c>
    </row>
    <row r="1102" spans="1:12" x14ac:dyDescent="0.25">
      <c r="A1102" s="3" t="s">
        <v>1057</v>
      </c>
      <c r="B1102" s="4" t="s">
        <v>3125</v>
      </c>
      <c r="C1102" s="4" t="s">
        <v>14</v>
      </c>
      <c r="D1102" s="4" t="s">
        <v>15</v>
      </c>
      <c r="E1102" s="5" t="str">
        <f>"9051113"</f>
        <v>9051113</v>
      </c>
      <c r="F1102" s="3" t="s">
        <v>3537</v>
      </c>
      <c r="G1102" s="5">
        <v>2106745001</v>
      </c>
      <c r="H1102" s="4" t="s">
        <v>3538</v>
      </c>
      <c r="I1102" s="4" t="s">
        <v>3286</v>
      </c>
      <c r="J1102" s="4" t="s">
        <v>3287</v>
      </c>
      <c r="K1102" s="4" t="s">
        <v>3533</v>
      </c>
      <c r="L1102" s="5">
        <v>15231</v>
      </c>
    </row>
    <row r="1103" spans="1:12" x14ac:dyDescent="0.25">
      <c r="A1103" s="3" t="s">
        <v>1057</v>
      </c>
      <c r="B1103" s="4" t="s">
        <v>3125</v>
      </c>
      <c r="C1103" s="4" t="s">
        <v>25</v>
      </c>
      <c r="D1103" s="4" t="s">
        <v>26</v>
      </c>
      <c r="E1103" s="5" t="str">
        <f>"9051212"</f>
        <v>9051212</v>
      </c>
      <c r="F1103" s="3" t="s">
        <v>3539</v>
      </c>
      <c r="G1103" s="5">
        <v>2108066055</v>
      </c>
      <c r="H1103" s="4" t="s">
        <v>3540</v>
      </c>
      <c r="I1103" s="4" t="s">
        <v>3150</v>
      </c>
      <c r="J1103" s="4" t="s">
        <v>3151</v>
      </c>
      <c r="K1103" s="4" t="s">
        <v>3541</v>
      </c>
      <c r="L1103" s="5">
        <v>15122</v>
      </c>
    </row>
    <row r="1104" spans="1:12" x14ac:dyDescent="0.25">
      <c r="A1104" s="3" t="s">
        <v>1057</v>
      </c>
      <c r="B1104" s="4" t="s">
        <v>3125</v>
      </c>
      <c r="C1104" s="4" t="s">
        <v>25</v>
      </c>
      <c r="D1104" s="4" t="s">
        <v>26</v>
      </c>
      <c r="E1104" s="5" t="str">
        <f>"9050845"</f>
        <v>9050845</v>
      </c>
      <c r="F1104" s="3" t="s">
        <v>3542</v>
      </c>
      <c r="G1104" s="5">
        <v>2102820985</v>
      </c>
      <c r="H1104" s="4" t="s">
        <v>3543</v>
      </c>
      <c r="I1104" s="4" t="s">
        <v>3193</v>
      </c>
      <c r="J1104" s="4" t="s">
        <v>3354</v>
      </c>
      <c r="K1104" s="4" t="s">
        <v>3544</v>
      </c>
      <c r="L1104" s="5">
        <v>14121</v>
      </c>
    </row>
    <row r="1105" spans="1:12" x14ac:dyDescent="0.25">
      <c r="A1105" s="3" t="s">
        <v>1057</v>
      </c>
      <c r="B1105" s="4" t="s">
        <v>3125</v>
      </c>
      <c r="C1105" s="4" t="s">
        <v>25</v>
      </c>
      <c r="D1105" s="4" t="s">
        <v>26</v>
      </c>
      <c r="E1105" s="5" t="str">
        <f>"9051580"</f>
        <v>9051580</v>
      </c>
      <c r="F1105" s="3" t="s">
        <v>3545</v>
      </c>
      <c r="G1105" s="5">
        <v>2106106368</v>
      </c>
      <c r="H1105" s="4" t="s">
        <v>3546</v>
      </c>
      <c r="I1105" s="4" t="s">
        <v>3150</v>
      </c>
      <c r="J1105" s="4" t="s">
        <v>3151</v>
      </c>
      <c r="K1105" s="4" t="s">
        <v>3547</v>
      </c>
      <c r="L1105" s="5">
        <v>15126</v>
      </c>
    </row>
    <row r="1106" spans="1:12" x14ac:dyDescent="0.25">
      <c r="A1106" s="3" t="s">
        <v>1057</v>
      </c>
      <c r="B1106" s="4" t="s">
        <v>3125</v>
      </c>
      <c r="C1106" s="4" t="s">
        <v>25</v>
      </c>
      <c r="D1106" s="4" t="s">
        <v>26</v>
      </c>
      <c r="E1106" s="5" t="str">
        <f>"9050846"</f>
        <v>9050846</v>
      </c>
      <c r="F1106" s="3" t="s">
        <v>3548</v>
      </c>
      <c r="G1106" s="5">
        <v>2102850390</v>
      </c>
      <c r="H1106" s="4" t="s">
        <v>3549</v>
      </c>
      <c r="I1106" s="4" t="s">
        <v>3188</v>
      </c>
      <c r="J1106" s="4" t="s">
        <v>3391</v>
      </c>
      <c r="K1106" s="4" t="s">
        <v>3550</v>
      </c>
      <c r="L1106" s="5">
        <v>14452</v>
      </c>
    </row>
    <row r="1107" spans="1:12" x14ac:dyDescent="0.25">
      <c r="A1107" s="3" t="s">
        <v>1057</v>
      </c>
      <c r="B1107" s="4" t="s">
        <v>3125</v>
      </c>
      <c r="C1107" s="4" t="s">
        <v>25</v>
      </c>
      <c r="D1107" s="4" t="s">
        <v>26</v>
      </c>
      <c r="E1107" s="5" t="str">
        <f>"9050709"</f>
        <v>9050709</v>
      </c>
      <c r="F1107" s="3" t="s">
        <v>3551</v>
      </c>
      <c r="G1107" s="5">
        <v>2108017888</v>
      </c>
      <c r="H1107" s="4" t="s">
        <v>3552</v>
      </c>
      <c r="I1107" s="4" t="s">
        <v>3202</v>
      </c>
      <c r="J1107" s="4" t="s">
        <v>3203</v>
      </c>
      <c r="K1107" s="4" t="s">
        <v>3553</v>
      </c>
      <c r="L1107" s="5">
        <v>14561</v>
      </c>
    </row>
    <row r="1108" spans="1:12" x14ac:dyDescent="0.25">
      <c r="A1108" s="3" t="s">
        <v>1057</v>
      </c>
      <c r="B1108" s="4" t="s">
        <v>3125</v>
      </c>
      <c r="C1108" s="4" t="s">
        <v>25</v>
      </c>
      <c r="D1108" s="4" t="s">
        <v>26</v>
      </c>
      <c r="E1108" s="5" t="str">
        <f>"9051452"</f>
        <v>9051452</v>
      </c>
      <c r="F1108" s="3" t="s">
        <v>3554</v>
      </c>
      <c r="G1108" s="5">
        <v>2108070144</v>
      </c>
      <c r="H1108" s="4" t="s">
        <v>3555</v>
      </c>
      <c r="I1108" s="4" t="s">
        <v>3202</v>
      </c>
      <c r="J1108" s="4" t="s">
        <v>3203</v>
      </c>
      <c r="K1108" s="4" t="s">
        <v>3556</v>
      </c>
      <c r="L1108" s="5">
        <v>14564</v>
      </c>
    </row>
    <row r="1109" spans="1:12" x14ac:dyDescent="0.25">
      <c r="A1109" s="3" t="s">
        <v>1057</v>
      </c>
      <c r="B1109" s="4" t="s">
        <v>3125</v>
      </c>
      <c r="C1109" s="4" t="s">
        <v>25</v>
      </c>
      <c r="D1109" s="4" t="s">
        <v>26</v>
      </c>
      <c r="E1109" s="5" t="str">
        <f>"9051874"</f>
        <v>9051874</v>
      </c>
      <c r="F1109" s="3" t="s">
        <v>3557</v>
      </c>
      <c r="G1109" s="5">
        <v>2108010227</v>
      </c>
      <c r="H1109" s="4" t="s">
        <v>3558</v>
      </c>
      <c r="I1109" s="4" t="s">
        <v>3202</v>
      </c>
      <c r="J1109" s="4" t="s">
        <v>3203</v>
      </c>
      <c r="K1109" s="4" t="s">
        <v>3559</v>
      </c>
      <c r="L1109" s="5">
        <v>14562</v>
      </c>
    </row>
    <row r="1110" spans="1:12" x14ac:dyDescent="0.25">
      <c r="A1110" s="3" t="s">
        <v>1057</v>
      </c>
      <c r="B1110" s="4" t="s">
        <v>3125</v>
      </c>
      <c r="C1110" s="4" t="s">
        <v>25</v>
      </c>
      <c r="D1110" s="4" t="s">
        <v>26</v>
      </c>
      <c r="E1110" s="5" t="str">
        <f>"9051584"</f>
        <v>9051584</v>
      </c>
      <c r="F1110" s="3" t="s">
        <v>3560</v>
      </c>
      <c r="G1110" s="5">
        <v>2106133945</v>
      </c>
      <c r="H1110" s="4" t="s">
        <v>3561</v>
      </c>
      <c r="I1110" s="4" t="s">
        <v>3171</v>
      </c>
      <c r="J1110" s="4" t="s">
        <v>3172</v>
      </c>
      <c r="K1110" s="4" t="s">
        <v>3562</v>
      </c>
      <c r="L1110" s="5">
        <v>15127</v>
      </c>
    </row>
    <row r="1111" spans="1:12" x14ac:dyDescent="0.25">
      <c r="A1111" s="3" t="s">
        <v>1057</v>
      </c>
      <c r="B1111" s="4" t="s">
        <v>3125</v>
      </c>
      <c r="C1111" s="4" t="s">
        <v>25</v>
      </c>
      <c r="D1111" s="4" t="s">
        <v>26</v>
      </c>
      <c r="E1111" s="5" t="str">
        <f>"9050503"</f>
        <v>9050503</v>
      </c>
      <c r="F1111" s="3" t="s">
        <v>3563</v>
      </c>
      <c r="G1111" s="5">
        <v>2102778713</v>
      </c>
      <c r="H1111" s="4" t="s">
        <v>3564</v>
      </c>
      <c r="I1111" s="4" t="s">
        <v>3257</v>
      </c>
      <c r="J1111" s="4" t="s">
        <v>3258</v>
      </c>
      <c r="K1111" s="4" t="s">
        <v>3565</v>
      </c>
      <c r="L1111" s="5">
        <v>14231</v>
      </c>
    </row>
    <row r="1112" spans="1:12" x14ac:dyDescent="0.25">
      <c r="A1112" s="3" t="s">
        <v>1057</v>
      </c>
      <c r="B1112" s="4" t="s">
        <v>3125</v>
      </c>
      <c r="C1112" s="4" t="s">
        <v>25</v>
      </c>
      <c r="D1112" s="4" t="s">
        <v>26</v>
      </c>
      <c r="E1112" s="5" t="str">
        <f>"9051581"</f>
        <v>9051581</v>
      </c>
      <c r="F1112" s="3" t="s">
        <v>3566</v>
      </c>
      <c r="G1112" s="5">
        <v>2108029149</v>
      </c>
      <c r="H1112" s="4" t="s">
        <v>3567</v>
      </c>
      <c r="I1112" s="4" t="s">
        <v>3212</v>
      </c>
      <c r="J1112" s="4" t="s">
        <v>3213</v>
      </c>
      <c r="K1112" s="4" t="s">
        <v>3568</v>
      </c>
      <c r="L1112" s="5">
        <v>15121</v>
      </c>
    </row>
    <row r="1113" spans="1:12" x14ac:dyDescent="0.25">
      <c r="A1113" s="3" t="s">
        <v>1057</v>
      </c>
      <c r="B1113" s="4" t="s">
        <v>3125</v>
      </c>
      <c r="C1113" s="4" t="s">
        <v>14</v>
      </c>
      <c r="D1113" s="4" t="s">
        <v>15</v>
      </c>
      <c r="E1113" s="5" t="str">
        <f>"9051479"</f>
        <v>9051479</v>
      </c>
      <c r="F1113" s="3" t="s">
        <v>3569</v>
      </c>
      <c r="G1113" s="5">
        <v>2106849439</v>
      </c>
      <c r="H1113" s="4" t="s">
        <v>3570</v>
      </c>
      <c r="I1113" s="4" t="s">
        <v>3286</v>
      </c>
      <c r="J1113" s="4" t="s">
        <v>3287</v>
      </c>
      <c r="K1113" s="4" t="s">
        <v>3571</v>
      </c>
      <c r="L1113" s="5">
        <v>15234</v>
      </c>
    </row>
    <row r="1114" spans="1:12" x14ac:dyDescent="0.25">
      <c r="A1114" s="3" t="s">
        <v>1057</v>
      </c>
      <c r="B1114" s="4" t="s">
        <v>3125</v>
      </c>
      <c r="C1114" s="4" t="s">
        <v>14</v>
      </c>
      <c r="D1114" s="4" t="s">
        <v>15</v>
      </c>
      <c r="E1114" s="5" t="str">
        <f>"9051606"</f>
        <v>9051606</v>
      </c>
      <c r="F1114" s="3" t="s">
        <v>3572</v>
      </c>
      <c r="G1114" s="5">
        <v>2106142166</v>
      </c>
      <c r="H1114" s="4" t="s">
        <v>3573</v>
      </c>
      <c r="I1114" s="4" t="s">
        <v>3150</v>
      </c>
      <c r="J1114" s="4" t="s">
        <v>3151</v>
      </c>
      <c r="K1114" s="4" t="s">
        <v>3574</v>
      </c>
      <c r="L1114" s="5">
        <v>15126</v>
      </c>
    </row>
    <row r="1115" spans="1:12" x14ac:dyDescent="0.25">
      <c r="A1115" s="3" t="s">
        <v>1057</v>
      </c>
      <c r="B1115" s="4" t="s">
        <v>3125</v>
      </c>
      <c r="C1115" s="4" t="s">
        <v>14</v>
      </c>
      <c r="D1115" s="4" t="s">
        <v>15</v>
      </c>
      <c r="E1115" s="5" t="str">
        <f>"9051731"</f>
        <v>9051731</v>
      </c>
      <c r="F1115" s="3" t="s">
        <v>3575</v>
      </c>
      <c r="G1115" s="5">
        <v>2102841382</v>
      </c>
      <c r="H1115" s="4" t="s">
        <v>3576</v>
      </c>
      <c r="I1115" s="4" t="s">
        <v>3193</v>
      </c>
      <c r="J1115" s="4" t="s">
        <v>3577</v>
      </c>
      <c r="K1115" s="4" t="s">
        <v>3578</v>
      </c>
      <c r="L1115" s="5">
        <v>14121</v>
      </c>
    </row>
    <row r="1116" spans="1:12" x14ac:dyDescent="0.25">
      <c r="A1116" s="3" t="s">
        <v>1057</v>
      </c>
      <c r="B1116" s="4" t="s">
        <v>3125</v>
      </c>
      <c r="C1116" s="4" t="s">
        <v>25</v>
      </c>
      <c r="D1116" s="4" t="s">
        <v>26</v>
      </c>
      <c r="E1116" s="5" t="str">
        <f>"9050994"</f>
        <v>9050994</v>
      </c>
      <c r="F1116" s="3" t="s">
        <v>3579</v>
      </c>
      <c r="G1116" s="5">
        <v>2102824736</v>
      </c>
      <c r="H1116" s="4" t="s">
        <v>3580</v>
      </c>
      <c r="I1116" s="4" t="s">
        <v>3193</v>
      </c>
      <c r="J1116" s="4" t="s">
        <v>3194</v>
      </c>
      <c r="K1116" s="4" t="s">
        <v>3581</v>
      </c>
      <c r="L1116" s="5">
        <v>14122</v>
      </c>
    </row>
    <row r="1117" spans="1:12" x14ac:dyDescent="0.25">
      <c r="A1117" s="3" t="s">
        <v>1057</v>
      </c>
      <c r="B1117" s="4" t="s">
        <v>3125</v>
      </c>
      <c r="C1117" s="4" t="s">
        <v>14</v>
      </c>
      <c r="D1117" s="4" t="s">
        <v>15</v>
      </c>
      <c r="E1117" s="5" t="str">
        <f>"9050904"</f>
        <v>9050904</v>
      </c>
      <c r="F1117" s="3" t="s">
        <v>3582</v>
      </c>
      <c r="G1117" s="5">
        <v>2102820243</v>
      </c>
      <c r="H1117" s="4" t="s">
        <v>3583</v>
      </c>
      <c r="I1117" s="4" t="s">
        <v>3193</v>
      </c>
      <c r="J1117" s="4" t="s">
        <v>3194</v>
      </c>
      <c r="K1117" s="4" t="s">
        <v>3584</v>
      </c>
      <c r="L1117" s="5">
        <v>14121</v>
      </c>
    </row>
    <row r="1118" spans="1:12" x14ac:dyDescent="0.25">
      <c r="A1118" s="3" t="s">
        <v>1057</v>
      </c>
      <c r="B1118" s="4" t="s">
        <v>3125</v>
      </c>
      <c r="C1118" s="4" t="s">
        <v>25</v>
      </c>
      <c r="D1118" s="4" t="s">
        <v>26</v>
      </c>
      <c r="E1118" s="5" t="str">
        <f>"9050467"</f>
        <v>9050467</v>
      </c>
      <c r="F1118" s="3" t="s">
        <v>3585</v>
      </c>
      <c r="G1118" s="5">
        <v>2102827220</v>
      </c>
      <c r="H1118" s="4" t="s">
        <v>3586</v>
      </c>
      <c r="I1118" s="4" t="s">
        <v>3193</v>
      </c>
      <c r="J1118" s="4" t="s">
        <v>3354</v>
      </c>
      <c r="K1118" s="4" t="s">
        <v>3587</v>
      </c>
      <c r="L1118" s="5">
        <v>14122</v>
      </c>
    </row>
    <row r="1119" spans="1:12" x14ac:dyDescent="0.25">
      <c r="A1119" s="3" t="s">
        <v>1057</v>
      </c>
      <c r="B1119" s="4" t="s">
        <v>3125</v>
      </c>
      <c r="C1119" s="4" t="s">
        <v>25</v>
      </c>
      <c r="D1119" s="4" t="s">
        <v>26</v>
      </c>
      <c r="E1119" s="5" t="str">
        <f>"9051297"</f>
        <v>9051297</v>
      </c>
      <c r="F1119" s="3" t="s">
        <v>3588</v>
      </c>
      <c r="G1119" s="5">
        <v>2102774448</v>
      </c>
      <c r="H1119" s="4" t="s">
        <v>3589</v>
      </c>
      <c r="I1119" s="4" t="s">
        <v>3193</v>
      </c>
      <c r="J1119" s="4" t="s">
        <v>3590</v>
      </c>
      <c r="K1119" s="4" t="s">
        <v>3591</v>
      </c>
      <c r="L1119" s="5">
        <v>14121</v>
      </c>
    </row>
    <row r="1120" spans="1:12" x14ac:dyDescent="0.25">
      <c r="A1120" s="3" t="s">
        <v>1057</v>
      </c>
      <c r="B1120" s="4" t="s">
        <v>3125</v>
      </c>
      <c r="C1120" s="4" t="s">
        <v>14</v>
      </c>
      <c r="D1120" s="4" t="s">
        <v>15</v>
      </c>
      <c r="E1120" s="5" t="str">
        <f>"9051115"</f>
        <v>9051115</v>
      </c>
      <c r="F1120" s="3" t="s">
        <v>3592</v>
      </c>
      <c r="G1120" s="5">
        <v>2102826648</v>
      </c>
      <c r="H1120" s="4" t="s">
        <v>3593</v>
      </c>
      <c r="I1120" s="4" t="s">
        <v>3193</v>
      </c>
      <c r="J1120" s="4" t="s">
        <v>3594</v>
      </c>
      <c r="K1120" s="4" t="s">
        <v>3595</v>
      </c>
      <c r="L1120" s="5">
        <v>14122</v>
      </c>
    </row>
    <row r="1121" spans="1:12" x14ac:dyDescent="0.25">
      <c r="A1121" s="3" t="s">
        <v>1057</v>
      </c>
      <c r="B1121" s="4" t="s">
        <v>3125</v>
      </c>
      <c r="C1121" s="4" t="s">
        <v>25</v>
      </c>
      <c r="D1121" s="4" t="s">
        <v>26</v>
      </c>
      <c r="E1121" s="5" t="str">
        <f>"9051037"</f>
        <v>9051037</v>
      </c>
      <c r="F1121" s="3" t="s">
        <v>3596</v>
      </c>
      <c r="G1121" s="5">
        <v>2102820641</v>
      </c>
      <c r="H1121" s="4" t="s">
        <v>3597</v>
      </c>
      <c r="I1121" s="4" t="s">
        <v>3193</v>
      </c>
      <c r="J1121" s="4" t="s">
        <v>3354</v>
      </c>
      <c r="K1121" s="4" t="s">
        <v>3598</v>
      </c>
      <c r="L1121" s="5">
        <v>14121</v>
      </c>
    </row>
    <row r="1122" spans="1:12" x14ac:dyDescent="0.25">
      <c r="A1122" s="3" t="s">
        <v>1057</v>
      </c>
      <c r="B1122" s="4" t="s">
        <v>3125</v>
      </c>
      <c r="C1122" s="4" t="s">
        <v>25</v>
      </c>
      <c r="D1122" s="4" t="s">
        <v>821</v>
      </c>
      <c r="E1122" s="5" t="str">
        <f>"9050714"</f>
        <v>9050714</v>
      </c>
      <c r="F1122" s="3" t="s">
        <v>3599</v>
      </c>
      <c r="G1122" s="5">
        <v>2106814311</v>
      </c>
      <c r="H1122" s="4" t="s">
        <v>3600</v>
      </c>
      <c r="I1122" s="4" t="s">
        <v>3286</v>
      </c>
      <c r="J1122" s="4" t="s">
        <v>3287</v>
      </c>
      <c r="K1122" s="4" t="s">
        <v>3601</v>
      </c>
      <c r="L1122" s="5">
        <v>15232</v>
      </c>
    </row>
    <row r="1123" spans="1:12" x14ac:dyDescent="0.25">
      <c r="A1123" s="3" t="s">
        <v>1057</v>
      </c>
      <c r="B1123" s="4" t="s">
        <v>3125</v>
      </c>
      <c r="C1123" s="4" t="s">
        <v>25</v>
      </c>
      <c r="D1123" s="4" t="s">
        <v>26</v>
      </c>
      <c r="E1123" s="5" t="str">
        <f>"9050715"</f>
        <v>9050715</v>
      </c>
      <c r="F1123" s="3" t="s">
        <v>3602</v>
      </c>
      <c r="G1123" s="5">
        <v>2106800857</v>
      </c>
      <c r="H1123" s="4" t="s">
        <v>3603</v>
      </c>
      <c r="I1123" s="4" t="s">
        <v>3286</v>
      </c>
      <c r="J1123" s="4" t="s">
        <v>3286</v>
      </c>
      <c r="K1123" s="4" t="s">
        <v>3604</v>
      </c>
      <c r="L1123" s="5">
        <v>15234</v>
      </c>
    </row>
    <row r="1124" spans="1:12" x14ac:dyDescent="0.25">
      <c r="A1124" s="3" t="s">
        <v>1057</v>
      </c>
      <c r="B1124" s="4" t="s">
        <v>3125</v>
      </c>
      <c r="C1124" s="4" t="s">
        <v>25</v>
      </c>
      <c r="D1124" s="4" t="s">
        <v>26</v>
      </c>
      <c r="E1124" s="5" t="str">
        <f>"9050880"</f>
        <v>9050880</v>
      </c>
      <c r="F1124" s="3" t="s">
        <v>3605</v>
      </c>
      <c r="G1124" s="5">
        <v>2108042435</v>
      </c>
      <c r="H1124" s="4" t="s">
        <v>3606</v>
      </c>
      <c r="I1124" s="4" t="s">
        <v>3171</v>
      </c>
      <c r="J1124" s="4" t="s">
        <v>3452</v>
      </c>
      <c r="K1124" s="4" t="s">
        <v>3607</v>
      </c>
      <c r="L1124" s="5">
        <v>15236</v>
      </c>
    </row>
    <row r="1125" spans="1:12" x14ac:dyDescent="0.25">
      <c r="A1125" s="3" t="s">
        <v>1057</v>
      </c>
      <c r="B1125" s="4" t="s">
        <v>3125</v>
      </c>
      <c r="C1125" s="4" t="s">
        <v>25</v>
      </c>
      <c r="D1125" s="4" t="s">
        <v>26</v>
      </c>
      <c r="E1125" s="5" t="str">
        <f>"9050701"</f>
        <v>9050701</v>
      </c>
      <c r="F1125" s="3" t="s">
        <v>3608</v>
      </c>
      <c r="G1125" s="5">
        <v>2106779940</v>
      </c>
      <c r="H1125" s="4" t="s">
        <v>3609</v>
      </c>
      <c r="I1125" s="4" t="s">
        <v>3133</v>
      </c>
      <c r="J1125" s="4" t="s">
        <v>3138</v>
      </c>
      <c r="K1125" s="4" t="s">
        <v>3610</v>
      </c>
      <c r="L1125" s="5">
        <v>15451</v>
      </c>
    </row>
    <row r="1126" spans="1:12" x14ac:dyDescent="0.25">
      <c r="A1126" s="3" t="s">
        <v>1057</v>
      </c>
      <c r="B1126" s="4" t="s">
        <v>3125</v>
      </c>
      <c r="C1126" s="4" t="s">
        <v>25</v>
      </c>
      <c r="D1126" s="4" t="s">
        <v>26</v>
      </c>
      <c r="E1126" s="5" t="str">
        <f>"9050720"</f>
        <v>9050720</v>
      </c>
      <c r="F1126" s="3" t="s">
        <v>3611</v>
      </c>
      <c r="G1126" s="5">
        <v>2106535331</v>
      </c>
      <c r="H1126" s="4" t="s">
        <v>3612</v>
      </c>
      <c r="I1126" s="4" t="s">
        <v>3207</v>
      </c>
      <c r="J1126" s="4" t="s">
        <v>3613</v>
      </c>
      <c r="K1126" s="4" t="s">
        <v>3614</v>
      </c>
      <c r="L1126" s="5">
        <v>15669</v>
      </c>
    </row>
    <row r="1127" spans="1:12" x14ac:dyDescent="0.25">
      <c r="A1127" s="3" t="s">
        <v>1057</v>
      </c>
      <c r="B1127" s="4" t="s">
        <v>3125</v>
      </c>
      <c r="C1127" s="4" t="s">
        <v>25</v>
      </c>
      <c r="D1127" s="4" t="s">
        <v>26</v>
      </c>
      <c r="E1127" s="5" t="str">
        <f>"9051031"</f>
        <v>9051031</v>
      </c>
      <c r="F1127" s="3" t="s">
        <v>3615</v>
      </c>
      <c r="G1127" s="5">
        <v>2108046502</v>
      </c>
      <c r="H1127" s="4" t="s">
        <v>3616</v>
      </c>
      <c r="I1127" s="4" t="s">
        <v>3128</v>
      </c>
      <c r="J1127" s="4" t="s">
        <v>3129</v>
      </c>
      <c r="K1127" s="4" t="s">
        <v>3617</v>
      </c>
      <c r="L1127" s="5">
        <v>15235</v>
      </c>
    </row>
    <row r="1128" spans="1:12" x14ac:dyDescent="0.25">
      <c r="A1128" s="3" t="s">
        <v>1057</v>
      </c>
      <c r="B1128" s="4" t="s">
        <v>3125</v>
      </c>
      <c r="C1128" s="4" t="s">
        <v>25</v>
      </c>
      <c r="D1128" s="4" t="s">
        <v>26</v>
      </c>
      <c r="E1128" s="5" t="str">
        <f>"9050992"</f>
        <v>9050992</v>
      </c>
      <c r="F1128" s="3" t="s">
        <v>3618</v>
      </c>
      <c r="G1128" s="5">
        <v>2106722985</v>
      </c>
      <c r="H1128" s="4" t="s">
        <v>3619</v>
      </c>
      <c r="I1128" s="4" t="s">
        <v>3133</v>
      </c>
      <c r="J1128" s="4" t="s">
        <v>3138</v>
      </c>
      <c r="K1128" s="4" t="s">
        <v>3620</v>
      </c>
      <c r="L1128" s="5">
        <v>15451</v>
      </c>
    </row>
    <row r="1129" spans="1:12" x14ac:dyDescent="0.25">
      <c r="A1129" s="3" t="s">
        <v>1057</v>
      </c>
      <c r="B1129" s="4" t="s">
        <v>3125</v>
      </c>
      <c r="C1129" s="4" t="s">
        <v>25</v>
      </c>
      <c r="D1129" s="4" t="s">
        <v>26</v>
      </c>
      <c r="E1129" s="5" t="str">
        <f>"9050874"</f>
        <v>9050874</v>
      </c>
      <c r="F1129" s="3" t="s">
        <v>3621</v>
      </c>
      <c r="G1129" s="5">
        <v>2106538235</v>
      </c>
      <c r="H1129" s="4" t="s">
        <v>3622</v>
      </c>
      <c r="I1129" s="4" t="s">
        <v>3207</v>
      </c>
      <c r="J1129" s="4" t="s">
        <v>3613</v>
      </c>
      <c r="K1129" s="4" t="s">
        <v>3490</v>
      </c>
      <c r="L1129" s="5">
        <v>15669</v>
      </c>
    </row>
    <row r="1130" spans="1:12" x14ac:dyDescent="0.25">
      <c r="A1130" s="3" t="s">
        <v>1057</v>
      </c>
      <c r="B1130" s="4" t="s">
        <v>3125</v>
      </c>
      <c r="C1130" s="4" t="s">
        <v>25</v>
      </c>
      <c r="D1130" s="4" t="s">
        <v>26</v>
      </c>
      <c r="E1130" s="5" t="str">
        <f>"9051029"</f>
        <v>9051029</v>
      </c>
      <c r="F1130" s="3" t="s">
        <v>3623</v>
      </c>
      <c r="G1130" s="5">
        <v>2106742292</v>
      </c>
      <c r="H1130" s="4" t="s">
        <v>3624</v>
      </c>
      <c r="I1130" s="4" t="s">
        <v>3133</v>
      </c>
      <c r="J1130" s="4" t="s">
        <v>3138</v>
      </c>
      <c r="K1130" s="4" t="s">
        <v>3139</v>
      </c>
      <c r="L1130" s="5">
        <v>11525</v>
      </c>
    </row>
    <row r="1131" spans="1:12" x14ac:dyDescent="0.25">
      <c r="A1131" s="3" t="s">
        <v>1057</v>
      </c>
      <c r="B1131" s="4" t="s">
        <v>3125</v>
      </c>
      <c r="C1131" s="4" t="s">
        <v>25</v>
      </c>
      <c r="D1131" s="4" t="s">
        <v>26</v>
      </c>
      <c r="E1131" s="5" t="str">
        <f>"9051445"</f>
        <v>9051445</v>
      </c>
      <c r="F1131" s="3" t="s">
        <v>3625</v>
      </c>
      <c r="G1131" s="5">
        <v>2108045049</v>
      </c>
      <c r="H1131" s="4" t="s">
        <v>3626</v>
      </c>
      <c r="I1131" s="4" t="s">
        <v>3128</v>
      </c>
      <c r="J1131" s="4" t="s">
        <v>3129</v>
      </c>
      <c r="K1131" s="4" t="s">
        <v>3627</v>
      </c>
      <c r="L1131" s="5">
        <v>15235</v>
      </c>
    </row>
    <row r="1132" spans="1:12" x14ac:dyDescent="0.25">
      <c r="A1132" s="3" t="s">
        <v>1057</v>
      </c>
      <c r="B1132" s="4" t="s">
        <v>3125</v>
      </c>
      <c r="C1132" s="4" t="s">
        <v>25</v>
      </c>
      <c r="D1132" s="4" t="s">
        <v>26</v>
      </c>
      <c r="E1132" s="5" t="str">
        <f>"9050716"</f>
        <v>9050716</v>
      </c>
      <c r="F1132" s="3" t="s">
        <v>3628</v>
      </c>
      <c r="G1132" s="5">
        <v>2106834668</v>
      </c>
      <c r="H1132" s="4" t="s">
        <v>3629</v>
      </c>
      <c r="I1132" s="4" t="s">
        <v>3286</v>
      </c>
      <c r="J1132" s="4" t="s">
        <v>3287</v>
      </c>
      <c r="K1132" s="4" t="s">
        <v>3630</v>
      </c>
      <c r="L1132" s="5">
        <v>15233</v>
      </c>
    </row>
    <row r="1133" spans="1:12" x14ac:dyDescent="0.25">
      <c r="A1133" s="3" t="s">
        <v>1057</v>
      </c>
      <c r="B1133" s="4" t="s">
        <v>3125</v>
      </c>
      <c r="C1133" s="4" t="s">
        <v>25</v>
      </c>
      <c r="D1133" s="4" t="s">
        <v>26</v>
      </c>
      <c r="E1133" s="5" t="str">
        <f>"9050717"</f>
        <v>9050717</v>
      </c>
      <c r="F1133" s="3" t="s">
        <v>3631</v>
      </c>
      <c r="G1133" s="5">
        <v>2130412767</v>
      </c>
      <c r="H1133" s="4" t="s">
        <v>3632</v>
      </c>
      <c r="I1133" s="4" t="s">
        <v>3286</v>
      </c>
      <c r="J1133" s="4" t="s">
        <v>3287</v>
      </c>
      <c r="K1133" s="4" t="s">
        <v>3633</v>
      </c>
      <c r="L1133" s="5">
        <v>15232</v>
      </c>
    </row>
    <row r="1134" spans="1:12" x14ac:dyDescent="0.25">
      <c r="A1134" s="3" t="s">
        <v>1057</v>
      </c>
      <c r="B1134" s="4" t="s">
        <v>3125</v>
      </c>
      <c r="C1134" s="4" t="s">
        <v>25</v>
      </c>
      <c r="D1134" s="4" t="s">
        <v>26</v>
      </c>
      <c r="E1134" s="5" t="str">
        <f>"9051873"</f>
        <v>9051873</v>
      </c>
      <c r="F1134" s="3" t="s">
        <v>3634</v>
      </c>
      <c r="G1134" s="5">
        <v>2106139131</v>
      </c>
      <c r="H1134" s="4" t="s">
        <v>3635</v>
      </c>
      <c r="I1134" s="4" t="s">
        <v>3128</v>
      </c>
      <c r="J1134" s="4" t="s">
        <v>3129</v>
      </c>
      <c r="K1134" s="4" t="s">
        <v>3636</v>
      </c>
      <c r="L1134" s="5">
        <v>15235</v>
      </c>
    </row>
    <row r="1135" spans="1:12" x14ac:dyDescent="0.25">
      <c r="A1135" s="3" t="s">
        <v>1057</v>
      </c>
      <c r="B1135" s="4" t="s">
        <v>3125</v>
      </c>
      <c r="C1135" s="4" t="s">
        <v>25</v>
      </c>
      <c r="D1135" s="4" t="s">
        <v>26</v>
      </c>
      <c r="E1135" s="5" t="str">
        <f>"9050718"</f>
        <v>9050718</v>
      </c>
      <c r="F1135" s="3" t="s">
        <v>3637</v>
      </c>
      <c r="G1135" s="5">
        <v>2106000495</v>
      </c>
      <c r="H1135" s="4" t="s">
        <v>3638</v>
      </c>
      <c r="I1135" s="4" t="s">
        <v>3286</v>
      </c>
      <c r="J1135" s="4" t="s">
        <v>3287</v>
      </c>
      <c r="K1135" s="4" t="s">
        <v>3639</v>
      </c>
      <c r="L1135" s="5">
        <v>15234</v>
      </c>
    </row>
    <row r="1136" spans="1:12" x14ac:dyDescent="0.25">
      <c r="A1136" s="3" t="s">
        <v>1057</v>
      </c>
      <c r="B1136" s="4" t="s">
        <v>3125</v>
      </c>
      <c r="C1136" s="4" t="s">
        <v>25</v>
      </c>
      <c r="D1136" s="4" t="s">
        <v>26</v>
      </c>
      <c r="E1136" s="5" t="str">
        <f>"9520556"</f>
        <v>9520556</v>
      </c>
      <c r="F1136" s="3" t="s">
        <v>3640</v>
      </c>
      <c r="G1136" s="5">
        <v>2108031307</v>
      </c>
      <c r="H1136" s="4" t="s">
        <v>3641</v>
      </c>
      <c r="I1136" s="4" t="s">
        <v>3128</v>
      </c>
      <c r="J1136" s="4" t="s">
        <v>3129</v>
      </c>
      <c r="K1136" s="4" t="s">
        <v>3642</v>
      </c>
      <c r="L1136" s="5">
        <v>15235</v>
      </c>
    </row>
    <row r="1137" spans="1:12" x14ac:dyDescent="0.25">
      <c r="A1137" s="3" t="s">
        <v>1057</v>
      </c>
      <c r="B1137" s="4" t="s">
        <v>3125</v>
      </c>
      <c r="C1137" s="4" t="s">
        <v>25</v>
      </c>
      <c r="D1137" s="4" t="s">
        <v>26</v>
      </c>
      <c r="E1137" s="5" t="str">
        <f>"9050876"</f>
        <v>9050876</v>
      </c>
      <c r="F1137" s="3" t="s">
        <v>3643</v>
      </c>
      <c r="G1137" s="5">
        <v>2106773533</v>
      </c>
      <c r="H1137" s="4" t="s">
        <v>3644</v>
      </c>
      <c r="I1137" s="4" t="s">
        <v>3286</v>
      </c>
      <c r="J1137" s="4" t="s">
        <v>3287</v>
      </c>
      <c r="K1137" s="4" t="s">
        <v>3645</v>
      </c>
      <c r="L1137" s="5">
        <v>15231</v>
      </c>
    </row>
    <row r="1138" spans="1:12" x14ac:dyDescent="0.25">
      <c r="A1138" s="3" t="s">
        <v>1057</v>
      </c>
      <c r="B1138" s="4" t="s">
        <v>3125</v>
      </c>
      <c r="C1138" s="4" t="s">
        <v>25</v>
      </c>
      <c r="D1138" s="4" t="s">
        <v>26</v>
      </c>
      <c r="E1138" s="5" t="str">
        <f>"9051501"</f>
        <v>9051501</v>
      </c>
      <c r="F1138" s="3" t="s">
        <v>3646</v>
      </c>
      <c r="G1138" s="5">
        <v>2106855780</v>
      </c>
      <c r="H1138" s="4" t="s">
        <v>3647</v>
      </c>
      <c r="I1138" s="4" t="s">
        <v>3286</v>
      </c>
      <c r="J1138" s="4" t="s">
        <v>3287</v>
      </c>
      <c r="K1138" s="4" t="s">
        <v>3648</v>
      </c>
      <c r="L1138" s="5">
        <v>15234</v>
      </c>
    </row>
    <row r="1139" spans="1:12" x14ac:dyDescent="0.25">
      <c r="A1139" s="3" t="s">
        <v>1057</v>
      </c>
      <c r="B1139" s="4" t="s">
        <v>3125</v>
      </c>
      <c r="C1139" s="4" t="s">
        <v>25</v>
      </c>
      <c r="D1139" s="4" t="s">
        <v>26</v>
      </c>
      <c r="E1139" s="5" t="str">
        <f>"9051578"</f>
        <v>9051578</v>
      </c>
      <c r="F1139" s="3" t="s">
        <v>3649</v>
      </c>
      <c r="G1139" s="5">
        <v>2106892333</v>
      </c>
      <c r="H1139" s="4" t="s">
        <v>3650</v>
      </c>
      <c r="I1139" s="4" t="s">
        <v>3286</v>
      </c>
      <c r="J1139" s="4" t="s">
        <v>3287</v>
      </c>
      <c r="K1139" s="4" t="s">
        <v>3651</v>
      </c>
      <c r="L1139" s="5">
        <v>15234</v>
      </c>
    </row>
    <row r="1140" spans="1:12" x14ac:dyDescent="0.25">
      <c r="A1140" s="3" t="s">
        <v>1057</v>
      </c>
      <c r="B1140" s="4" t="s">
        <v>3125</v>
      </c>
      <c r="C1140" s="4" t="s">
        <v>25</v>
      </c>
      <c r="D1140" s="4" t="s">
        <v>26</v>
      </c>
      <c r="E1140" s="5" t="str">
        <f>"9051791"</f>
        <v>9051791</v>
      </c>
      <c r="F1140" s="3" t="s">
        <v>3652</v>
      </c>
      <c r="G1140" s="5">
        <v>2106830522</v>
      </c>
      <c r="H1140" s="4" t="s">
        <v>3653</v>
      </c>
      <c r="I1140" s="4" t="s">
        <v>3286</v>
      </c>
      <c r="J1140" s="4" t="s">
        <v>3287</v>
      </c>
      <c r="K1140" s="4" t="s">
        <v>3654</v>
      </c>
      <c r="L1140" s="5">
        <v>15233</v>
      </c>
    </row>
    <row r="1141" spans="1:12" x14ac:dyDescent="0.25">
      <c r="A1141" s="3" t="s">
        <v>1057</v>
      </c>
      <c r="B1141" s="4" t="s">
        <v>3125</v>
      </c>
      <c r="C1141" s="4" t="s">
        <v>25</v>
      </c>
      <c r="D1141" s="4" t="s">
        <v>26</v>
      </c>
      <c r="E1141" s="5" t="str">
        <f>"9050067"</f>
        <v>9050067</v>
      </c>
      <c r="F1141" s="3" t="s">
        <v>3655</v>
      </c>
      <c r="G1141" s="5">
        <v>2106894452</v>
      </c>
      <c r="H1141" s="4" t="s">
        <v>3656</v>
      </c>
      <c r="I1141" s="4" t="s">
        <v>3286</v>
      </c>
      <c r="J1141" s="4" t="s">
        <v>3287</v>
      </c>
      <c r="K1141" s="4" t="s">
        <v>3657</v>
      </c>
      <c r="L1141" s="5">
        <v>15234</v>
      </c>
    </row>
    <row r="1142" spans="1:12" x14ac:dyDescent="0.25">
      <c r="A1142" s="3" t="s">
        <v>1057</v>
      </c>
      <c r="B1142" s="4" t="s">
        <v>3125</v>
      </c>
      <c r="C1142" s="4" t="s">
        <v>25</v>
      </c>
      <c r="D1142" s="4" t="s">
        <v>26</v>
      </c>
      <c r="E1142" s="5" t="str">
        <f>"9051032"</f>
        <v>9051032</v>
      </c>
      <c r="F1142" s="3" t="s">
        <v>3658</v>
      </c>
      <c r="G1142" s="5">
        <v>2106854875</v>
      </c>
      <c r="H1142" s="4" t="s">
        <v>3659</v>
      </c>
      <c r="I1142" s="4" t="s">
        <v>3286</v>
      </c>
      <c r="J1142" s="4" t="s">
        <v>3287</v>
      </c>
      <c r="K1142" s="4" t="s">
        <v>3348</v>
      </c>
      <c r="L1142" s="5">
        <v>15232</v>
      </c>
    </row>
    <row r="1143" spans="1:12" x14ac:dyDescent="0.25">
      <c r="A1143" s="3" t="s">
        <v>1057</v>
      </c>
      <c r="B1143" s="4" t="s">
        <v>3125</v>
      </c>
      <c r="C1143" s="4" t="s">
        <v>25</v>
      </c>
      <c r="D1143" s="4" t="s">
        <v>26</v>
      </c>
      <c r="E1143" s="5" t="str">
        <f>"9051299"</f>
        <v>9051299</v>
      </c>
      <c r="F1143" s="3" t="s">
        <v>3660</v>
      </c>
      <c r="G1143" s="5">
        <v>2102829116</v>
      </c>
      <c r="H1143" s="4" t="s">
        <v>3661</v>
      </c>
      <c r="I1143" s="4" t="s">
        <v>3193</v>
      </c>
      <c r="J1143" s="4" t="s">
        <v>3354</v>
      </c>
      <c r="K1143" s="4" t="s">
        <v>3662</v>
      </c>
      <c r="L1143" s="5">
        <v>14122</v>
      </c>
    </row>
    <row r="1144" spans="1:12" x14ac:dyDescent="0.25">
      <c r="A1144" s="3" t="s">
        <v>1057</v>
      </c>
      <c r="B1144" s="4" t="s">
        <v>3125</v>
      </c>
      <c r="C1144" s="4" t="s">
        <v>14</v>
      </c>
      <c r="D1144" s="4" t="s">
        <v>15</v>
      </c>
      <c r="E1144" s="5" t="str">
        <f>"9050054"</f>
        <v>9050054</v>
      </c>
      <c r="F1144" s="3" t="s">
        <v>3663</v>
      </c>
      <c r="G1144" s="5">
        <v>2108020060</v>
      </c>
      <c r="H1144" s="4" t="s">
        <v>3664</v>
      </c>
      <c r="I1144" s="4" t="s">
        <v>3212</v>
      </c>
      <c r="J1144" s="4" t="s">
        <v>3213</v>
      </c>
      <c r="K1144" s="4" t="s">
        <v>3665</v>
      </c>
      <c r="L1144" s="5">
        <v>15121</v>
      </c>
    </row>
    <row r="1145" spans="1:12" x14ac:dyDescent="0.25">
      <c r="A1145" s="3" t="s">
        <v>1057</v>
      </c>
      <c r="B1145" s="4" t="s">
        <v>3125</v>
      </c>
      <c r="C1145" s="4" t="s">
        <v>25</v>
      </c>
      <c r="D1145" s="4" t="s">
        <v>26</v>
      </c>
      <c r="E1145" s="5" t="str">
        <f>"9051540"</f>
        <v>9051540</v>
      </c>
      <c r="F1145" s="3" t="s">
        <v>3666</v>
      </c>
      <c r="G1145" s="5">
        <v>2106831993</v>
      </c>
      <c r="H1145" s="4" t="s">
        <v>3667</v>
      </c>
      <c r="I1145" s="4" t="s">
        <v>3286</v>
      </c>
      <c r="J1145" s="4" t="s">
        <v>3287</v>
      </c>
      <c r="K1145" s="4" t="s">
        <v>3668</v>
      </c>
      <c r="L1145" s="5">
        <v>15233</v>
      </c>
    </row>
    <row r="1146" spans="1:12" x14ac:dyDescent="0.25">
      <c r="A1146" s="3" t="s">
        <v>1057</v>
      </c>
      <c r="B1146" s="4" t="s">
        <v>3125</v>
      </c>
      <c r="C1146" s="4" t="s">
        <v>14</v>
      </c>
      <c r="D1146" s="4" t="s">
        <v>15</v>
      </c>
      <c r="E1146" s="5" t="str">
        <f>"9051480"</f>
        <v>9051480</v>
      </c>
      <c r="F1146" s="3" t="s">
        <v>3669</v>
      </c>
      <c r="G1146" s="5">
        <v>2106832986</v>
      </c>
      <c r="H1146" s="4" t="s">
        <v>3670</v>
      </c>
      <c r="I1146" s="4" t="s">
        <v>3286</v>
      </c>
      <c r="J1146" s="4" t="s">
        <v>3287</v>
      </c>
      <c r="K1146" s="4" t="s">
        <v>3648</v>
      </c>
      <c r="L1146" s="5">
        <v>15234</v>
      </c>
    </row>
    <row r="1147" spans="1:12" x14ac:dyDescent="0.25">
      <c r="A1147" s="3" t="s">
        <v>1057</v>
      </c>
      <c r="B1147" s="4" t="s">
        <v>3125</v>
      </c>
      <c r="C1147" s="4" t="s">
        <v>25</v>
      </c>
      <c r="D1147" s="4" t="s">
        <v>26</v>
      </c>
      <c r="E1147" s="5" t="str">
        <f>"9050879"</f>
        <v>9050879</v>
      </c>
      <c r="F1147" s="3" t="s">
        <v>3671</v>
      </c>
      <c r="G1147" s="5">
        <v>2108034000</v>
      </c>
      <c r="H1147" s="4" t="s">
        <v>3672</v>
      </c>
      <c r="I1147" s="4" t="s">
        <v>3171</v>
      </c>
      <c r="J1147" s="4" t="s">
        <v>3282</v>
      </c>
      <c r="K1147" s="4" t="s">
        <v>770</v>
      </c>
      <c r="L1147" s="5">
        <v>15239</v>
      </c>
    </row>
    <row r="1148" spans="1:12" x14ac:dyDescent="0.25">
      <c r="A1148" s="3" t="s">
        <v>1057</v>
      </c>
      <c r="B1148" s="4" t="s">
        <v>3125</v>
      </c>
      <c r="C1148" s="4" t="s">
        <v>14</v>
      </c>
      <c r="D1148" s="4" t="s">
        <v>15</v>
      </c>
      <c r="E1148" s="5" t="str">
        <f>"9050491"</f>
        <v>9050491</v>
      </c>
      <c r="F1148" s="3" t="s">
        <v>3673</v>
      </c>
      <c r="G1148" s="5">
        <v>2102791503</v>
      </c>
      <c r="H1148" s="4" t="s">
        <v>3674</v>
      </c>
      <c r="I1148" s="4" t="s">
        <v>3257</v>
      </c>
      <c r="J1148" s="4" t="s">
        <v>3675</v>
      </c>
      <c r="K1148" s="4" t="s">
        <v>3676</v>
      </c>
      <c r="L1148" s="5">
        <v>14235</v>
      </c>
    </row>
    <row r="1149" spans="1:12" x14ac:dyDescent="0.25">
      <c r="A1149" s="3" t="s">
        <v>1057</v>
      </c>
      <c r="B1149" s="4" t="s">
        <v>3125</v>
      </c>
      <c r="C1149" s="4" t="s">
        <v>25</v>
      </c>
      <c r="D1149" s="4" t="s">
        <v>26</v>
      </c>
      <c r="E1149" s="5" t="str">
        <f>"9051629"</f>
        <v>9051629</v>
      </c>
      <c r="F1149" s="3" t="s">
        <v>3677</v>
      </c>
      <c r="G1149" s="5">
        <v>2106142939</v>
      </c>
      <c r="H1149" s="4" t="s">
        <v>3678</v>
      </c>
      <c r="I1149" s="4" t="s">
        <v>3150</v>
      </c>
      <c r="J1149" s="4" t="s">
        <v>3151</v>
      </c>
      <c r="K1149" s="4" t="s">
        <v>3679</v>
      </c>
      <c r="L1149" s="5">
        <v>15126</v>
      </c>
    </row>
    <row r="1150" spans="1:12" x14ac:dyDescent="0.25">
      <c r="A1150" s="3" t="s">
        <v>1057</v>
      </c>
      <c r="B1150" s="4" t="s">
        <v>3125</v>
      </c>
      <c r="C1150" s="4" t="s">
        <v>25</v>
      </c>
      <c r="D1150" s="4" t="s">
        <v>26</v>
      </c>
      <c r="E1150" s="5" t="str">
        <f>"9050711"</f>
        <v>9050711</v>
      </c>
      <c r="F1150" s="3" t="s">
        <v>3680</v>
      </c>
      <c r="G1150" s="5">
        <v>2106200352</v>
      </c>
      <c r="H1150" s="4" t="s">
        <v>3681</v>
      </c>
      <c r="I1150" s="4" t="s">
        <v>3202</v>
      </c>
      <c r="J1150" s="4" t="s">
        <v>3682</v>
      </c>
      <c r="K1150" s="4" t="s">
        <v>3683</v>
      </c>
      <c r="L1150" s="5">
        <v>14671</v>
      </c>
    </row>
    <row r="1151" spans="1:12" x14ac:dyDescent="0.25">
      <c r="A1151" s="3" t="s">
        <v>1057</v>
      </c>
      <c r="B1151" s="4" t="s">
        <v>3125</v>
      </c>
      <c r="C1151" s="4" t="s">
        <v>25</v>
      </c>
      <c r="D1151" s="4" t="s">
        <v>26</v>
      </c>
      <c r="E1151" s="5" t="str">
        <f>"9050710"</f>
        <v>9050710</v>
      </c>
      <c r="F1151" s="3" t="s">
        <v>3684</v>
      </c>
      <c r="G1151" s="5">
        <v>2108041612</v>
      </c>
      <c r="H1151" s="4" t="s">
        <v>3685</v>
      </c>
      <c r="I1151" s="4" t="s">
        <v>3171</v>
      </c>
      <c r="J1151" s="4" t="s">
        <v>3172</v>
      </c>
      <c r="K1151" s="4" t="s">
        <v>3686</v>
      </c>
      <c r="L1151" s="5">
        <v>15127</v>
      </c>
    </row>
    <row r="1152" spans="1:12" x14ac:dyDescent="0.25">
      <c r="A1152" s="3" t="s">
        <v>1057</v>
      </c>
      <c r="B1152" s="4" t="s">
        <v>3125</v>
      </c>
      <c r="C1152" s="4" t="s">
        <v>25</v>
      </c>
      <c r="D1152" s="4" t="s">
        <v>26</v>
      </c>
      <c r="E1152" s="5" t="str">
        <f>"9050884"</f>
        <v>9050884</v>
      </c>
      <c r="F1152" s="3" t="s">
        <v>3687</v>
      </c>
      <c r="G1152" s="5">
        <v>2102823147</v>
      </c>
      <c r="H1152" s="4" t="s">
        <v>3688</v>
      </c>
      <c r="I1152" s="4" t="s">
        <v>3188</v>
      </c>
      <c r="J1152" s="4" t="s">
        <v>3391</v>
      </c>
      <c r="K1152" s="4" t="s">
        <v>3689</v>
      </c>
      <c r="L1152" s="5">
        <v>14452</v>
      </c>
    </row>
    <row r="1153" spans="1:12" x14ac:dyDescent="0.25">
      <c r="A1153" s="3" t="s">
        <v>1057</v>
      </c>
      <c r="B1153" s="4" t="s">
        <v>3125</v>
      </c>
      <c r="C1153" s="4" t="s">
        <v>25</v>
      </c>
      <c r="D1153" s="4" t="s">
        <v>26</v>
      </c>
      <c r="E1153" s="5" t="str">
        <f>"9050995"</f>
        <v>9050995</v>
      </c>
      <c r="F1153" s="3" t="s">
        <v>3690</v>
      </c>
      <c r="G1153" s="5">
        <v>2102717780</v>
      </c>
      <c r="H1153" s="4" t="s">
        <v>3691</v>
      </c>
      <c r="I1153" s="4" t="s">
        <v>3193</v>
      </c>
      <c r="J1153" s="4" t="s">
        <v>3577</v>
      </c>
      <c r="K1153" s="4" t="s">
        <v>3692</v>
      </c>
      <c r="L1153" s="5">
        <v>14121</v>
      </c>
    </row>
    <row r="1154" spans="1:12" x14ac:dyDescent="0.25">
      <c r="A1154" s="3" t="s">
        <v>1057</v>
      </c>
      <c r="B1154" s="4" t="s">
        <v>3125</v>
      </c>
      <c r="C1154" s="4" t="s">
        <v>25</v>
      </c>
      <c r="D1154" s="4" t="s">
        <v>26</v>
      </c>
      <c r="E1154" s="5" t="str">
        <f>"9050776"</f>
        <v>9050776</v>
      </c>
      <c r="F1154" s="3" t="s">
        <v>3693</v>
      </c>
      <c r="G1154" s="5">
        <v>2102758779</v>
      </c>
      <c r="H1154" s="4" t="s">
        <v>3694</v>
      </c>
      <c r="I1154" s="4" t="s">
        <v>3257</v>
      </c>
      <c r="J1154" s="4" t="s">
        <v>3258</v>
      </c>
      <c r="K1154" s="4" t="s">
        <v>3695</v>
      </c>
      <c r="L1154" s="5">
        <v>14232</v>
      </c>
    </row>
    <row r="1155" spans="1:12" x14ac:dyDescent="0.25">
      <c r="A1155" s="3" t="s">
        <v>1057</v>
      </c>
      <c r="B1155" s="4" t="s">
        <v>3125</v>
      </c>
      <c r="C1155" s="4" t="s">
        <v>25</v>
      </c>
      <c r="D1155" s="4" t="s">
        <v>26</v>
      </c>
      <c r="E1155" s="5" t="str">
        <f>"9050996"</f>
        <v>9050996</v>
      </c>
      <c r="F1155" s="3" t="s">
        <v>3696</v>
      </c>
      <c r="G1155" s="5">
        <v>2102752728</v>
      </c>
      <c r="H1155" s="4" t="s">
        <v>3697</v>
      </c>
      <c r="I1155" s="4" t="s">
        <v>3257</v>
      </c>
      <c r="J1155" s="4" t="s">
        <v>3257</v>
      </c>
      <c r="K1155" s="4" t="s">
        <v>3698</v>
      </c>
      <c r="L1155" s="5">
        <v>14233</v>
      </c>
    </row>
    <row r="1156" spans="1:12" x14ac:dyDescent="0.25">
      <c r="A1156" s="3" t="s">
        <v>1057</v>
      </c>
      <c r="B1156" s="4" t="s">
        <v>3125</v>
      </c>
      <c r="C1156" s="4" t="s">
        <v>14</v>
      </c>
      <c r="D1156" s="4" t="s">
        <v>15</v>
      </c>
      <c r="E1156" s="5" t="str">
        <f>"9050681"</f>
        <v>9050681</v>
      </c>
      <c r="F1156" s="3" t="s">
        <v>3699</v>
      </c>
      <c r="G1156" s="5">
        <v>2102811054</v>
      </c>
      <c r="H1156" s="4" t="s">
        <v>3700</v>
      </c>
      <c r="I1156" s="4" t="s">
        <v>3188</v>
      </c>
      <c r="J1156" s="4" t="s">
        <v>3391</v>
      </c>
      <c r="K1156" s="4" t="s">
        <v>3701</v>
      </c>
      <c r="L1156" s="5">
        <v>14452</v>
      </c>
    </row>
    <row r="1157" spans="1:12" x14ac:dyDescent="0.25">
      <c r="A1157" s="3" t="s">
        <v>1057</v>
      </c>
      <c r="B1157" s="4" t="s">
        <v>3125</v>
      </c>
      <c r="C1157" s="4" t="s">
        <v>14</v>
      </c>
      <c r="D1157" s="4" t="s">
        <v>830</v>
      </c>
      <c r="E1157" s="5" t="str">
        <f>"9050069"</f>
        <v>9050069</v>
      </c>
      <c r="F1157" s="3" t="s">
        <v>3702</v>
      </c>
      <c r="G1157" s="5">
        <v>2106812916</v>
      </c>
      <c r="H1157" s="4" t="s">
        <v>3703</v>
      </c>
      <c r="I1157" s="4" t="s">
        <v>3286</v>
      </c>
      <c r="J1157" s="4" t="s">
        <v>3287</v>
      </c>
      <c r="K1157" s="4" t="s">
        <v>3704</v>
      </c>
      <c r="L1157" s="5">
        <v>15232</v>
      </c>
    </row>
    <row r="1158" spans="1:12" x14ac:dyDescent="0.25">
      <c r="A1158" s="3" t="s">
        <v>1057</v>
      </c>
      <c r="B1158" s="4" t="s">
        <v>3125</v>
      </c>
      <c r="C1158" s="4" t="s">
        <v>14</v>
      </c>
      <c r="D1158" s="4" t="s">
        <v>15</v>
      </c>
      <c r="E1158" s="5" t="str">
        <f>"9051371"</f>
        <v>9051371</v>
      </c>
      <c r="F1158" s="3" t="s">
        <v>3705</v>
      </c>
      <c r="G1158" s="5">
        <v>2106202585</v>
      </c>
      <c r="H1158" s="4" t="s">
        <v>3706</v>
      </c>
      <c r="I1158" s="4" t="s">
        <v>3202</v>
      </c>
      <c r="J1158" s="4" t="s">
        <v>3203</v>
      </c>
      <c r="K1158" s="4" t="s">
        <v>3707</v>
      </c>
      <c r="L1158" s="5">
        <v>14563</v>
      </c>
    </row>
    <row r="1159" spans="1:12" x14ac:dyDescent="0.25">
      <c r="A1159" s="3" t="s">
        <v>1057</v>
      </c>
      <c r="B1159" s="4" t="s">
        <v>3125</v>
      </c>
      <c r="C1159" s="4" t="s">
        <v>14</v>
      </c>
      <c r="D1159" s="4" t="s">
        <v>15</v>
      </c>
      <c r="E1159" s="5" t="str">
        <f>"9050959"</f>
        <v>9050959</v>
      </c>
      <c r="F1159" s="3" t="s">
        <v>3708</v>
      </c>
      <c r="G1159" s="5">
        <v>2102810467</v>
      </c>
      <c r="H1159" s="4" t="s">
        <v>3709</v>
      </c>
      <c r="I1159" s="4" t="s">
        <v>3193</v>
      </c>
      <c r="J1159" s="4" t="s">
        <v>3194</v>
      </c>
      <c r="K1159" s="4" t="s">
        <v>3581</v>
      </c>
      <c r="L1159" s="5">
        <v>14122</v>
      </c>
    </row>
    <row r="1160" spans="1:12" x14ac:dyDescent="0.25">
      <c r="A1160" s="3" t="s">
        <v>1057</v>
      </c>
      <c r="B1160" s="4" t="s">
        <v>3125</v>
      </c>
      <c r="C1160" s="4" t="s">
        <v>25</v>
      </c>
      <c r="D1160" s="4" t="s">
        <v>821</v>
      </c>
      <c r="E1160" s="5" t="str">
        <f>"9050475"</f>
        <v>9050475</v>
      </c>
      <c r="F1160" s="3" t="s">
        <v>3710</v>
      </c>
      <c r="G1160" s="5">
        <v>2102827944</v>
      </c>
      <c r="H1160" s="4" t="s">
        <v>3711</v>
      </c>
      <c r="I1160" s="4" t="s">
        <v>3212</v>
      </c>
      <c r="J1160" s="4" t="s">
        <v>3213</v>
      </c>
      <c r="K1160" s="4" t="s">
        <v>3712</v>
      </c>
      <c r="L1160" s="5">
        <v>14123</v>
      </c>
    </row>
    <row r="1161" spans="1:12" x14ac:dyDescent="0.25">
      <c r="A1161" s="3" t="s">
        <v>1057</v>
      </c>
      <c r="B1161" s="4" t="s">
        <v>3125</v>
      </c>
      <c r="C1161" s="4" t="s">
        <v>25</v>
      </c>
      <c r="D1161" s="4" t="s">
        <v>26</v>
      </c>
      <c r="E1161" s="5" t="str">
        <f>"9050498"</f>
        <v>9050498</v>
      </c>
      <c r="F1161" s="3" t="s">
        <v>3713</v>
      </c>
      <c r="G1161" s="5">
        <v>2102799786</v>
      </c>
      <c r="H1161" s="4" t="s">
        <v>3714</v>
      </c>
      <c r="I1161" s="4" t="s">
        <v>3257</v>
      </c>
      <c r="J1161" s="4" t="s">
        <v>3675</v>
      </c>
      <c r="K1161" s="4" t="s">
        <v>3715</v>
      </c>
      <c r="L1161" s="5">
        <v>14235</v>
      </c>
    </row>
    <row r="1162" spans="1:12" x14ac:dyDescent="0.25">
      <c r="A1162" s="3" t="s">
        <v>1057</v>
      </c>
      <c r="B1162" s="4" t="s">
        <v>3125</v>
      </c>
      <c r="C1162" s="4" t="s">
        <v>25</v>
      </c>
      <c r="D1162" s="4" t="s">
        <v>26</v>
      </c>
      <c r="E1162" s="5" t="str">
        <f>"9051915"</f>
        <v>9051915</v>
      </c>
      <c r="F1162" s="3" t="s">
        <v>3716</v>
      </c>
      <c r="G1162" s="5">
        <v>2102832501</v>
      </c>
      <c r="H1162" s="4" t="s">
        <v>3717</v>
      </c>
      <c r="I1162" s="4" t="s">
        <v>3188</v>
      </c>
      <c r="J1162" s="4" t="s">
        <v>3391</v>
      </c>
      <c r="K1162" s="4" t="s">
        <v>3718</v>
      </c>
      <c r="L1162" s="5">
        <v>14452</v>
      </c>
    </row>
    <row r="1163" spans="1:12" x14ac:dyDescent="0.25">
      <c r="A1163" s="3" t="s">
        <v>1057</v>
      </c>
      <c r="B1163" s="4" t="s">
        <v>3125</v>
      </c>
      <c r="C1163" s="4" t="s">
        <v>14</v>
      </c>
      <c r="D1163" s="4" t="s">
        <v>15</v>
      </c>
      <c r="E1163" s="5" t="str">
        <f>"9051367"</f>
        <v>9051367</v>
      </c>
      <c r="F1163" s="3" t="s">
        <v>3719</v>
      </c>
      <c r="G1163" s="5">
        <v>2108062060</v>
      </c>
      <c r="H1163" s="4" t="s">
        <v>3720</v>
      </c>
      <c r="I1163" s="4" t="s">
        <v>3212</v>
      </c>
      <c r="J1163" s="4" t="s">
        <v>3213</v>
      </c>
      <c r="K1163" s="4" t="s">
        <v>3721</v>
      </c>
      <c r="L1163" s="5">
        <v>15121</v>
      </c>
    </row>
    <row r="1164" spans="1:12" x14ac:dyDescent="0.25">
      <c r="A1164" s="3" t="s">
        <v>1057</v>
      </c>
      <c r="B1164" s="4" t="s">
        <v>3125</v>
      </c>
      <c r="C1164" s="4" t="s">
        <v>14</v>
      </c>
      <c r="D1164" s="4" t="s">
        <v>15</v>
      </c>
      <c r="E1164" s="5" t="str">
        <f>"9050469"</f>
        <v>9050469</v>
      </c>
      <c r="F1164" s="3" t="s">
        <v>3722</v>
      </c>
      <c r="G1164" s="5">
        <v>2102820112</v>
      </c>
      <c r="H1164" s="4" t="s">
        <v>3723</v>
      </c>
      <c r="I1164" s="4" t="s">
        <v>3193</v>
      </c>
      <c r="J1164" s="4" t="s">
        <v>3194</v>
      </c>
      <c r="K1164" s="4" t="s">
        <v>3724</v>
      </c>
      <c r="L1164" s="5">
        <v>14121</v>
      </c>
    </row>
    <row r="1165" spans="1:12" x14ac:dyDescent="0.25">
      <c r="A1165" s="3" t="s">
        <v>1057</v>
      </c>
      <c r="B1165" s="4" t="s">
        <v>3125</v>
      </c>
      <c r="C1165" s="4" t="s">
        <v>14</v>
      </c>
      <c r="D1165" s="4" t="s">
        <v>15</v>
      </c>
      <c r="E1165" s="5" t="str">
        <f>"9050470"</f>
        <v>9050470</v>
      </c>
      <c r="F1165" s="3" t="s">
        <v>3725</v>
      </c>
      <c r="G1165" s="5">
        <v>2102826804</v>
      </c>
      <c r="H1165" s="4" t="s">
        <v>3726</v>
      </c>
      <c r="I1165" s="4" t="s">
        <v>3193</v>
      </c>
      <c r="J1165" s="4" t="s">
        <v>3727</v>
      </c>
      <c r="K1165" s="4" t="s">
        <v>3728</v>
      </c>
      <c r="L1165" s="5">
        <v>14122</v>
      </c>
    </row>
    <row r="1166" spans="1:12" x14ac:dyDescent="0.25">
      <c r="A1166" s="3" t="s">
        <v>1057</v>
      </c>
      <c r="B1166" s="4" t="s">
        <v>3125</v>
      </c>
      <c r="C1166" s="4" t="s">
        <v>14</v>
      </c>
      <c r="D1166" s="4" t="s">
        <v>15</v>
      </c>
      <c r="E1166" s="5" t="str">
        <f>"9051370"</f>
        <v>9051370</v>
      </c>
      <c r="F1166" s="3" t="s">
        <v>3729</v>
      </c>
      <c r="G1166" s="5">
        <v>2108133050</v>
      </c>
      <c r="H1166" s="4" t="s">
        <v>3730</v>
      </c>
      <c r="I1166" s="4" t="s">
        <v>3202</v>
      </c>
      <c r="J1166" s="4" t="s">
        <v>3312</v>
      </c>
      <c r="K1166" s="4" t="s">
        <v>3731</v>
      </c>
      <c r="L1166" s="5">
        <v>14578</v>
      </c>
    </row>
    <row r="1167" spans="1:12" x14ac:dyDescent="0.25">
      <c r="A1167" s="3" t="s">
        <v>1057</v>
      </c>
      <c r="B1167" s="4" t="s">
        <v>3125</v>
      </c>
      <c r="C1167" s="4" t="s">
        <v>14</v>
      </c>
      <c r="D1167" s="4" t="s">
        <v>15</v>
      </c>
      <c r="E1167" s="5" t="str">
        <f>"9050680"</f>
        <v>9050680</v>
      </c>
      <c r="F1167" s="3" t="s">
        <v>3732</v>
      </c>
      <c r="G1167" s="5">
        <v>2102754001</v>
      </c>
      <c r="H1167" s="4" t="s">
        <v>3733</v>
      </c>
      <c r="I1167" s="4" t="s">
        <v>3193</v>
      </c>
      <c r="J1167" s="4" t="s">
        <v>3734</v>
      </c>
      <c r="K1167" s="4" t="s">
        <v>3735</v>
      </c>
      <c r="L1167" s="5">
        <v>14121</v>
      </c>
    </row>
    <row r="1168" spans="1:12" x14ac:dyDescent="0.25">
      <c r="A1168" s="3" t="s">
        <v>1057</v>
      </c>
      <c r="B1168" s="4" t="s">
        <v>3125</v>
      </c>
      <c r="C1168" s="4" t="s">
        <v>14</v>
      </c>
      <c r="D1168" s="4" t="s">
        <v>15</v>
      </c>
      <c r="E1168" s="5" t="str">
        <f>"9050473"</f>
        <v>9050473</v>
      </c>
      <c r="F1168" s="3" t="s">
        <v>3736</v>
      </c>
      <c r="G1168" s="5">
        <v>2102819390</v>
      </c>
      <c r="H1168" s="4" t="s">
        <v>3737</v>
      </c>
      <c r="I1168" s="4" t="s">
        <v>3193</v>
      </c>
      <c r="J1168" s="4" t="s">
        <v>3738</v>
      </c>
      <c r="K1168" s="4" t="s">
        <v>3739</v>
      </c>
      <c r="L1168" s="5">
        <v>14122</v>
      </c>
    </row>
    <row r="1169" spans="1:12" x14ac:dyDescent="0.25">
      <c r="A1169" s="3" t="s">
        <v>1057</v>
      </c>
      <c r="B1169" s="4" t="s">
        <v>3125</v>
      </c>
      <c r="C1169" s="4" t="s">
        <v>14</v>
      </c>
      <c r="D1169" s="4" t="s">
        <v>15</v>
      </c>
      <c r="E1169" s="5" t="str">
        <f>"9050466"</f>
        <v>9050466</v>
      </c>
      <c r="F1169" s="3" t="s">
        <v>3740</v>
      </c>
      <c r="G1169" s="5">
        <v>2102827074</v>
      </c>
      <c r="H1169" s="4" t="s">
        <v>3741</v>
      </c>
      <c r="I1169" s="4" t="s">
        <v>3193</v>
      </c>
      <c r="J1169" s="4" t="s">
        <v>3738</v>
      </c>
      <c r="K1169" s="4" t="s">
        <v>3742</v>
      </c>
      <c r="L1169" s="5">
        <v>14122</v>
      </c>
    </row>
    <row r="1170" spans="1:12" x14ac:dyDescent="0.25">
      <c r="A1170" s="3" t="s">
        <v>1057</v>
      </c>
      <c r="B1170" s="4" t="s">
        <v>3125</v>
      </c>
      <c r="C1170" s="4" t="s">
        <v>14</v>
      </c>
      <c r="D1170" s="4" t="s">
        <v>15</v>
      </c>
      <c r="E1170" s="5" t="str">
        <f>"9051271"</f>
        <v>9051271</v>
      </c>
      <c r="F1170" s="3" t="s">
        <v>3743</v>
      </c>
      <c r="G1170" s="5">
        <v>2102827025</v>
      </c>
      <c r="H1170" s="4" t="s">
        <v>3744</v>
      </c>
      <c r="I1170" s="4" t="s">
        <v>3212</v>
      </c>
      <c r="J1170" s="4" t="s">
        <v>3414</v>
      </c>
      <c r="K1170" s="4" t="s">
        <v>3745</v>
      </c>
      <c r="L1170" s="5">
        <v>14123</v>
      </c>
    </row>
    <row r="1171" spans="1:12" x14ac:dyDescent="0.25">
      <c r="A1171" s="3" t="s">
        <v>1057</v>
      </c>
      <c r="B1171" s="4" t="s">
        <v>3125</v>
      </c>
      <c r="C1171" s="4" t="s">
        <v>14</v>
      </c>
      <c r="D1171" s="4" t="s">
        <v>15</v>
      </c>
      <c r="E1171" s="5" t="str">
        <f>"9050480"</f>
        <v>9050480</v>
      </c>
      <c r="F1171" s="3" t="s">
        <v>3746</v>
      </c>
      <c r="G1171" s="5">
        <v>2102811910</v>
      </c>
      <c r="H1171" s="4" t="s">
        <v>3747</v>
      </c>
      <c r="I1171" s="4" t="s">
        <v>3188</v>
      </c>
      <c r="J1171" s="4" t="s">
        <v>3391</v>
      </c>
      <c r="K1171" s="4" t="s">
        <v>3748</v>
      </c>
      <c r="L1171" s="5">
        <v>14451</v>
      </c>
    </row>
    <row r="1172" spans="1:12" x14ac:dyDescent="0.25">
      <c r="A1172" s="3" t="s">
        <v>1057</v>
      </c>
      <c r="B1172" s="4" t="s">
        <v>3125</v>
      </c>
      <c r="C1172" s="4" t="s">
        <v>14</v>
      </c>
      <c r="D1172" s="4" t="s">
        <v>15</v>
      </c>
      <c r="E1172" s="5" t="str">
        <f>"9050481"</f>
        <v>9050481</v>
      </c>
      <c r="F1172" s="3" t="s">
        <v>3749</v>
      </c>
      <c r="G1172" s="5">
        <v>2102810211</v>
      </c>
      <c r="H1172" s="4" t="s">
        <v>3750</v>
      </c>
      <c r="I1172" s="4" t="s">
        <v>3188</v>
      </c>
      <c r="J1172" s="4" t="s">
        <v>3391</v>
      </c>
      <c r="K1172" s="4" t="s">
        <v>3751</v>
      </c>
      <c r="L1172" s="5">
        <v>14451</v>
      </c>
    </row>
    <row r="1173" spans="1:12" x14ac:dyDescent="0.25">
      <c r="A1173" s="3" t="s">
        <v>1057</v>
      </c>
      <c r="B1173" s="4" t="s">
        <v>3125</v>
      </c>
      <c r="C1173" s="4" t="s">
        <v>14</v>
      </c>
      <c r="D1173" s="4" t="s">
        <v>15</v>
      </c>
      <c r="E1173" s="5" t="str">
        <f>"9051844"</f>
        <v>9051844</v>
      </c>
      <c r="F1173" s="3" t="s">
        <v>3752</v>
      </c>
      <c r="G1173" s="5">
        <v>2102840210</v>
      </c>
      <c r="H1173" s="4" t="s">
        <v>3753</v>
      </c>
      <c r="I1173" s="4" t="s">
        <v>3188</v>
      </c>
      <c r="J1173" s="4" t="s">
        <v>3391</v>
      </c>
      <c r="K1173" s="4" t="s">
        <v>3754</v>
      </c>
      <c r="L1173" s="5">
        <v>14452</v>
      </c>
    </row>
    <row r="1174" spans="1:12" x14ac:dyDescent="0.25">
      <c r="A1174" s="3" t="s">
        <v>1057</v>
      </c>
      <c r="B1174" s="4" t="s">
        <v>3125</v>
      </c>
      <c r="C1174" s="4" t="s">
        <v>14</v>
      </c>
      <c r="D1174" s="4" t="s">
        <v>830</v>
      </c>
      <c r="E1174" s="5" t="str">
        <f>"9050496"</f>
        <v>9050496</v>
      </c>
      <c r="F1174" s="3" t="s">
        <v>3755</v>
      </c>
      <c r="G1174" s="5">
        <v>2102799106</v>
      </c>
      <c r="H1174" s="4" t="s">
        <v>3756</v>
      </c>
      <c r="I1174" s="4" t="s">
        <v>3257</v>
      </c>
      <c r="J1174" s="4" t="s">
        <v>3258</v>
      </c>
      <c r="K1174" s="4" t="s">
        <v>3757</v>
      </c>
      <c r="L1174" s="5">
        <v>14231</v>
      </c>
    </row>
    <row r="1175" spans="1:12" x14ac:dyDescent="0.25">
      <c r="A1175" s="3" t="s">
        <v>1057</v>
      </c>
      <c r="B1175" s="4" t="s">
        <v>3125</v>
      </c>
      <c r="C1175" s="4" t="s">
        <v>14</v>
      </c>
      <c r="D1175" s="4" t="s">
        <v>15</v>
      </c>
      <c r="E1175" s="5" t="str">
        <f>"9051607"</f>
        <v>9051607</v>
      </c>
      <c r="F1175" s="3" t="s">
        <v>3758</v>
      </c>
      <c r="G1175" s="5">
        <v>2108048669</v>
      </c>
      <c r="H1175" s="4" t="s">
        <v>3759</v>
      </c>
      <c r="I1175" s="4" t="s">
        <v>3171</v>
      </c>
      <c r="J1175" s="4" t="s">
        <v>3172</v>
      </c>
      <c r="K1175" s="4" t="s">
        <v>3562</v>
      </c>
      <c r="L1175" s="5">
        <v>15127</v>
      </c>
    </row>
    <row r="1176" spans="1:12" x14ac:dyDescent="0.25">
      <c r="A1176" s="3" t="s">
        <v>1057</v>
      </c>
      <c r="B1176" s="4" t="s">
        <v>3125</v>
      </c>
      <c r="C1176" s="4" t="s">
        <v>14</v>
      </c>
      <c r="D1176" s="4" t="s">
        <v>15</v>
      </c>
      <c r="E1176" s="5" t="str">
        <f>"9050492"</f>
        <v>9050492</v>
      </c>
      <c r="F1176" s="3" t="s">
        <v>3760</v>
      </c>
      <c r="G1176" s="5">
        <v>2102796966</v>
      </c>
      <c r="H1176" s="4" t="s">
        <v>3761</v>
      </c>
      <c r="I1176" s="4" t="s">
        <v>3257</v>
      </c>
      <c r="J1176" s="4" t="s">
        <v>3258</v>
      </c>
      <c r="K1176" s="4" t="s">
        <v>3762</v>
      </c>
      <c r="L1176" s="5">
        <v>14233</v>
      </c>
    </row>
    <row r="1177" spans="1:12" x14ac:dyDescent="0.25">
      <c r="A1177" s="3" t="s">
        <v>1057</v>
      </c>
      <c r="B1177" s="4" t="s">
        <v>3125</v>
      </c>
      <c r="C1177" s="4" t="s">
        <v>14</v>
      </c>
      <c r="D1177" s="4" t="s">
        <v>15</v>
      </c>
      <c r="E1177" s="5" t="str">
        <f>"9050493"</f>
        <v>9050493</v>
      </c>
      <c r="F1177" s="3" t="s">
        <v>3763</v>
      </c>
      <c r="G1177" s="5">
        <v>2102791420</v>
      </c>
      <c r="H1177" s="4" t="s">
        <v>3764</v>
      </c>
      <c r="I1177" s="4" t="s">
        <v>3257</v>
      </c>
      <c r="J1177" s="4" t="s">
        <v>3258</v>
      </c>
      <c r="K1177" s="4" t="s">
        <v>3765</v>
      </c>
      <c r="L1177" s="5">
        <v>14235</v>
      </c>
    </row>
    <row r="1178" spans="1:12" x14ac:dyDescent="0.25">
      <c r="A1178" s="3" t="s">
        <v>1057</v>
      </c>
      <c r="B1178" s="4" t="s">
        <v>3125</v>
      </c>
      <c r="C1178" s="4" t="s">
        <v>14</v>
      </c>
      <c r="D1178" s="4" t="s">
        <v>15</v>
      </c>
      <c r="E1178" s="5" t="str">
        <f>"9050042"</f>
        <v>9050042</v>
      </c>
      <c r="F1178" s="3" t="s">
        <v>3766</v>
      </c>
      <c r="G1178" s="5">
        <v>2108077517</v>
      </c>
      <c r="H1178" s="4" t="s">
        <v>3767</v>
      </c>
      <c r="I1178" s="4" t="s">
        <v>3202</v>
      </c>
      <c r="J1178" s="4" t="s">
        <v>3203</v>
      </c>
      <c r="K1178" s="4" t="s">
        <v>3768</v>
      </c>
      <c r="L1178" s="5">
        <v>14563</v>
      </c>
    </row>
    <row r="1179" spans="1:12" ht="30" x14ac:dyDescent="0.25">
      <c r="A1179" s="3" t="s">
        <v>1057</v>
      </c>
      <c r="B1179" s="4" t="s">
        <v>3125</v>
      </c>
      <c r="C1179" s="4" t="s">
        <v>14</v>
      </c>
      <c r="D1179" s="4" t="s">
        <v>960</v>
      </c>
      <c r="E1179" s="5" t="str">
        <f>"9051651"</f>
        <v>9051651</v>
      </c>
      <c r="F1179" s="3" t="s">
        <v>3769</v>
      </c>
      <c r="G1179" s="5">
        <v>2102776459</v>
      </c>
      <c r="H1179" s="4" t="s">
        <v>3770</v>
      </c>
      <c r="I1179" s="4" t="s">
        <v>3257</v>
      </c>
      <c r="J1179" s="4" t="s">
        <v>3258</v>
      </c>
      <c r="K1179" s="4" t="s">
        <v>3771</v>
      </c>
      <c r="L1179" s="5">
        <v>14235</v>
      </c>
    </row>
    <row r="1180" spans="1:12" x14ac:dyDescent="0.25">
      <c r="A1180" s="3" t="s">
        <v>1057</v>
      </c>
      <c r="B1180" s="4" t="s">
        <v>3125</v>
      </c>
      <c r="C1180" s="4" t="s">
        <v>14</v>
      </c>
      <c r="D1180" s="4" t="s">
        <v>15</v>
      </c>
      <c r="E1180" s="5" t="str">
        <f>"9051735"</f>
        <v>9051735</v>
      </c>
      <c r="F1180" s="3" t="s">
        <v>3772</v>
      </c>
      <c r="G1180" s="5">
        <v>2106012158</v>
      </c>
      <c r="H1180" s="4" t="s">
        <v>3773</v>
      </c>
      <c r="I1180" s="4" t="s">
        <v>3145</v>
      </c>
      <c r="J1180" s="4" t="s">
        <v>3167</v>
      </c>
      <c r="K1180" s="4" t="s">
        <v>3338</v>
      </c>
      <c r="L1180" s="5">
        <v>15343</v>
      </c>
    </row>
    <row r="1181" spans="1:12" x14ac:dyDescent="0.25">
      <c r="A1181" s="3" t="s">
        <v>1057</v>
      </c>
      <c r="B1181" s="4" t="s">
        <v>3125</v>
      </c>
      <c r="C1181" s="4" t="s">
        <v>14</v>
      </c>
      <c r="D1181" s="4" t="s">
        <v>15</v>
      </c>
      <c r="E1181" s="5" t="str">
        <f>"9051536"</f>
        <v>9051536</v>
      </c>
      <c r="F1181" s="3" t="s">
        <v>3774</v>
      </c>
      <c r="G1181" s="5">
        <v>2106544435</v>
      </c>
      <c r="H1181" s="4" t="s">
        <v>3775</v>
      </c>
      <c r="I1181" s="4" t="s">
        <v>3207</v>
      </c>
      <c r="J1181" s="4" t="s">
        <v>3208</v>
      </c>
      <c r="K1181" s="4" t="s">
        <v>3478</v>
      </c>
      <c r="L1181" s="5">
        <v>15562</v>
      </c>
    </row>
    <row r="1182" spans="1:12" x14ac:dyDescent="0.25">
      <c r="A1182" s="3" t="s">
        <v>1057</v>
      </c>
      <c r="B1182" s="4" t="s">
        <v>3125</v>
      </c>
      <c r="C1182" s="4" t="s">
        <v>14</v>
      </c>
      <c r="D1182" s="4" t="s">
        <v>15</v>
      </c>
      <c r="E1182" s="5" t="str">
        <f>"9051112"</f>
        <v>9051112</v>
      </c>
      <c r="F1182" s="3" t="s">
        <v>3776</v>
      </c>
      <c r="G1182" s="5">
        <v>2106515590</v>
      </c>
      <c r="H1182" s="4" t="s">
        <v>3777</v>
      </c>
      <c r="I1182" s="4" t="s">
        <v>3207</v>
      </c>
      <c r="J1182" s="4" t="s">
        <v>3778</v>
      </c>
      <c r="K1182" s="4" t="s">
        <v>3779</v>
      </c>
      <c r="L1182" s="5">
        <v>15562</v>
      </c>
    </row>
    <row r="1183" spans="1:12" x14ac:dyDescent="0.25">
      <c r="A1183" s="3" t="s">
        <v>1057</v>
      </c>
      <c r="B1183" s="4" t="s">
        <v>3125</v>
      </c>
      <c r="C1183" s="4" t="s">
        <v>14</v>
      </c>
      <c r="D1183" s="4" t="s">
        <v>15</v>
      </c>
      <c r="E1183" s="5" t="str">
        <f>"9050080"</f>
        <v>9050080</v>
      </c>
      <c r="F1183" s="3" t="s">
        <v>3780</v>
      </c>
      <c r="G1183" s="5">
        <v>2106511198</v>
      </c>
      <c r="H1183" s="4" t="s">
        <v>3781</v>
      </c>
      <c r="I1183" s="4" t="s">
        <v>3207</v>
      </c>
      <c r="J1183" s="4" t="s">
        <v>3208</v>
      </c>
      <c r="K1183" s="4" t="s">
        <v>3782</v>
      </c>
      <c r="L1183" s="5">
        <v>15561</v>
      </c>
    </row>
    <row r="1184" spans="1:12" x14ac:dyDescent="0.25">
      <c r="A1184" s="3" t="s">
        <v>1057</v>
      </c>
      <c r="B1184" s="4" t="s">
        <v>3125</v>
      </c>
      <c r="C1184" s="4" t="s">
        <v>14</v>
      </c>
      <c r="D1184" s="4" t="s">
        <v>15</v>
      </c>
      <c r="E1184" s="5" t="str">
        <f>"9050086"</f>
        <v>9050086</v>
      </c>
      <c r="F1184" s="3" t="s">
        <v>3783</v>
      </c>
      <c r="G1184" s="5">
        <v>2106512309</v>
      </c>
      <c r="H1184" s="4" t="s">
        <v>3784</v>
      </c>
      <c r="I1184" s="4" t="s">
        <v>3145</v>
      </c>
      <c r="J1184" s="4" t="s">
        <v>3167</v>
      </c>
      <c r="K1184" s="4" t="s">
        <v>3785</v>
      </c>
      <c r="L1184" s="5">
        <v>15341</v>
      </c>
    </row>
    <row r="1185" spans="1:12" x14ac:dyDescent="0.25">
      <c r="A1185" s="3" t="s">
        <v>1057</v>
      </c>
      <c r="B1185" s="4" t="s">
        <v>3125</v>
      </c>
      <c r="C1185" s="4" t="s">
        <v>14</v>
      </c>
      <c r="D1185" s="4" t="s">
        <v>15</v>
      </c>
      <c r="E1185" s="5" t="str">
        <f>"9050088"</f>
        <v>9050088</v>
      </c>
      <c r="F1185" s="3" t="s">
        <v>3786</v>
      </c>
      <c r="G1185" s="5">
        <v>2106390210</v>
      </c>
      <c r="H1185" s="4" t="s">
        <v>3787</v>
      </c>
      <c r="I1185" s="4" t="s">
        <v>3145</v>
      </c>
      <c r="J1185" s="4" t="s">
        <v>3788</v>
      </c>
      <c r="K1185" s="4" t="s">
        <v>3789</v>
      </c>
      <c r="L1185" s="5">
        <v>15343</v>
      </c>
    </row>
    <row r="1186" spans="1:12" x14ac:dyDescent="0.25">
      <c r="A1186" s="3" t="s">
        <v>1057</v>
      </c>
      <c r="B1186" s="4" t="s">
        <v>3125</v>
      </c>
      <c r="C1186" s="4" t="s">
        <v>14</v>
      </c>
      <c r="D1186" s="4" t="s">
        <v>15</v>
      </c>
      <c r="E1186" s="5" t="str">
        <f>"9051265"</f>
        <v>9051265</v>
      </c>
      <c r="F1186" s="3" t="s">
        <v>3790</v>
      </c>
      <c r="G1186" s="5">
        <v>2106527551</v>
      </c>
      <c r="H1186" s="4" t="s">
        <v>3791</v>
      </c>
      <c r="I1186" s="4" t="s">
        <v>3145</v>
      </c>
      <c r="J1186" s="4" t="s">
        <v>3167</v>
      </c>
      <c r="K1186" s="4" t="s">
        <v>3792</v>
      </c>
      <c r="L1186" s="5">
        <v>15341</v>
      </c>
    </row>
    <row r="1187" spans="1:12" x14ac:dyDescent="0.25">
      <c r="A1187" s="3" t="s">
        <v>1057</v>
      </c>
      <c r="B1187" s="4" t="s">
        <v>3125</v>
      </c>
      <c r="C1187" s="4" t="s">
        <v>14</v>
      </c>
      <c r="D1187" s="4" t="s">
        <v>15</v>
      </c>
      <c r="E1187" s="5" t="str">
        <f>"9050043"</f>
        <v>9050043</v>
      </c>
      <c r="F1187" s="3" t="s">
        <v>3793</v>
      </c>
      <c r="G1187" s="5">
        <v>2108071526</v>
      </c>
      <c r="H1187" s="4" t="s">
        <v>3794</v>
      </c>
      <c r="I1187" s="4" t="s">
        <v>3202</v>
      </c>
      <c r="J1187" s="4" t="s">
        <v>3203</v>
      </c>
      <c r="K1187" s="4" t="s">
        <v>3795</v>
      </c>
      <c r="L1187" s="5">
        <v>14564</v>
      </c>
    </row>
    <row r="1188" spans="1:12" x14ac:dyDescent="0.25">
      <c r="A1188" s="3" t="s">
        <v>1057</v>
      </c>
      <c r="B1188" s="4" t="s">
        <v>3125</v>
      </c>
      <c r="C1188" s="4" t="s">
        <v>25</v>
      </c>
      <c r="D1188" s="4" t="s">
        <v>26</v>
      </c>
      <c r="E1188" s="5" t="str">
        <f>"9051868"</f>
        <v>9051868</v>
      </c>
      <c r="F1188" s="3" t="s">
        <v>3796</v>
      </c>
      <c r="G1188" s="5">
        <v>2102850288</v>
      </c>
      <c r="H1188" s="4" t="s">
        <v>3797</v>
      </c>
      <c r="I1188" s="4" t="s">
        <v>3188</v>
      </c>
      <c r="J1188" s="4" t="s">
        <v>3391</v>
      </c>
      <c r="K1188" s="4" t="s">
        <v>3798</v>
      </c>
      <c r="L1188" s="5">
        <v>14451</v>
      </c>
    </row>
    <row r="1189" spans="1:12" x14ac:dyDescent="0.25">
      <c r="A1189" s="3" t="s">
        <v>1057</v>
      </c>
      <c r="B1189" s="4" t="s">
        <v>3125</v>
      </c>
      <c r="C1189" s="4" t="s">
        <v>25</v>
      </c>
      <c r="D1189" s="4" t="s">
        <v>26</v>
      </c>
      <c r="E1189" s="5" t="str">
        <f>"9050881"</f>
        <v>9050881</v>
      </c>
      <c r="F1189" s="3" t="s">
        <v>3799</v>
      </c>
      <c r="G1189" s="5">
        <v>2102814746</v>
      </c>
      <c r="H1189" s="4" t="s">
        <v>3800</v>
      </c>
      <c r="I1189" s="4" t="s">
        <v>3193</v>
      </c>
      <c r="J1189" s="4" t="s">
        <v>3801</v>
      </c>
      <c r="K1189" s="4" t="s">
        <v>3802</v>
      </c>
      <c r="L1189" s="5">
        <v>14122</v>
      </c>
    </row>
    <row r="1190" spans="1:12" x14ac:dyDescent="0.25">
      <c r="A1190" s="3" t="s">
        <v>1057</v>
      </c>
      <c r="B1190" s="4" t="s">
        <v>3125</v>
      </c>
      <c r="C1190" s="4" t="s">
        <v>14</v>
      </c>
      <c r="D1190" s="4" t="s">
        <v>15</v>
      </c>
      <c r="E1190" s="5" t="str">
        <f>"9050477"</f>
        <v>9050477</v>
      </c>
      <c r="F1190" s="3" t="s">
        <v>3803</v>
      </c>
      <c r="G1190" s="5">
        <v>2131302422</v>
      </c>
      <c r="H1190" s="4" t="s">
        <v>3804</v>
      </c>
      <c r="I1190" s="4" t="s">
        <v>3188</v>
      </c>
      <c r="J1190" s="4" t="s">
        <v>3391</v>
      </c>
      <c r="K1190" s="4" t="s">
        <v>3805</v>
      </c>
      <c r="L1190" s="5">
        <v>14452</v>
      </c>
    </row>
    <row r="1191" spans="1:12" x14ac:dyDescent="0.25">
      <c r="A1191" s="3" t="s">
        <v>1057</v>
      </c>
      <c r="B1191" s="4" t="s">
        <v>3125</v>
      </c>
      <c r="C1191" s="4" t="s">
        <v>14</v>
      </c>
      <c r="D1191" s="4" t="s">
        <v>15</v>
      </c>
      <c r="E1191" s="5" t="str">
        <f>"9051368"</f>
        <v>9051368</v>
      </c>
      <c r="F1191" s="3" t="s">
        <v>3806</v>
      </c>
      <c r="G1191" s="5">
        <v>2102846276</v>
      </c>
      <c r="H1191" s="4" t="s">
        <v>3807</v>
      </c>
      <c r="I1191" s="4" t="s">
        <v>3212</v>
      </c>
      <c r="J1191" s="4" t="s">
        <v>3414</v>
      </c>
      <c r="K1191" s="4" t="s">
        <v>3808</v>
      </c>
      <c r="L1191" s="5">
        <v>14123</v>
      </c>
    </row>
    <row r="1192" spans="1:12" x14ac:dyDescent="0.25">
      <c r="A1192" s="3" t="s">
        <v>1057</v>
      </c>
      <c r="B1192" s="4" t="s">
        <v>3125</v>
      </c>
      <c r="C1192" s="4" t="s">
        <v>14</v>
      </c>
      <c r="D1192" s="4" t="s">
        <v>15</v>
      </c>
      <c r="E1192" s="5" t="str">
        <f>"9050499"</f>
        <v>9050499</v>
      </c>
      <c r="F1192" s="3" t="s">
        <v>3809</v>
      </c>
      <c r="G1192" s="5">
        <v>2102798361</v>
      </c>
      <c r="H1192" s="4" t="s">
        <v>3810</v>
      </c>
      <c r="I1192" s="4" t="s">
        <v>3257</v>
      </c>
      <c r="J1192" s="4" t="s">
        <v>3341</v>
      </c>
      <c r="K1192" s="4" t="s">
        <v>3811</v>
      </c>
      <c r="L1192" s="5">
        <v>14234</v>
      </c>
    </row>
    <row r="1193" spans="1:12" x14ac:dyDescent="0.25">
      <c r="A1193" s="3" t="s">
        <v>1057</v>
      </c>
      <c r="B1193" s="4" t="s">
        <v>3125</v>
      </c>
      <c r="C1193" s="4" t="s">
        <v>14</v>
      </c>
      <c r="D1193" s="4" t="s">
        <v>15</v>
      </c>
      <c r="E1193" s="5" t="str">
        <f>"9050474"</f>
        <v>9050474</v>
      </c>
      <c r="F1193" s="3" t="s">
        <v>3812</v>
      </c>
      <c r="G1193" s="5">
        <v>2102818311</v>
      </c>
      <c r="H1193" s="4" t="s">
        <v>3813</v>
      </c>
      <c r="I1193" s="4" t="s">
        <v>3193</v>
      </c>
      <c r="J1193" s="4" t="s">
        <v>3194</v>
      </c>
      <c r="K1193" s="4" t="s">
        <v>3814</v>
      </c>
      <c r="L1193" s="5">
        <v>14121</v>
      </c>
    </row>
    <row r="1194" spans="1:12" x14ac:dyDescent="0.25">
      <c r="A1194" s="3" t="s">
        <v>1057</v>
      </c>
      <c r="B1194" s="4" t="s">
        <v>3125</v>
      </c>
      <c r="C1194" s="4" t="s">
        <v>14</v>
      </c>
      <c r="D1194" s="4" t="s">
        <v>15</v>
      </c>
      <c r="E1194" s="5" t="str">
        <f>"9050484"</f>
        <v>9050484</v>
      </c>
      <c r="F1194" s="3" t="s">
        <v>3815</v>
      </c>
      <c r="G1194" s="5">
        <v>2102815781</v>
      </c>
      <c r="H1194" s="4" t="s">
        <v>3816</v>
      </c>
      <c r="I1194" s="4" t="s">
        <v>3188</v>
      </c>
      <c r="J1194" s="4" t="s">
        <v>3391</v>
      </c>
      <c r="K1194" s="4" t="s">
        <v>3817</v>
      </c>
      <c r="L1194" s="5">
        <v>14452</v>
      </c>
    </row>
    <row r="1195" spans="1:12" x14ac:dyDescent="0.25">
      <c r="A1195" s="3" t="s">
        <v>1057</v>
      </c>
      <c r="B1195" s="4" t="s">
        <v>3125</v>
      </c>
      <c r="C1195" s="4" t="s">
        <v>14</v>
      </c>
      <c r="D1195" s="4" t="s">
        <v>15</v>
      </c>
      <c r="E1195" s="5" t="str">
        <f>"9050465"</f>
        <v>9050465</v>
      </c>
      <c r="F1195" s="3" t="s">
        <v>3818</v>
      </c>
      <c r="G1195" s="5">
        <v>2102796157</v>
      </c>
      <c r="H1195" s="4" t="s">
        <v>3819</v>
      </c>
      <c r="I1195" s="4" t="s">
        <v>3193</v>
      </c>
      <c r="J1195" s="4" t="s">
        <v>3194</v>
      </c>
      <c r="K1195" s="4" t="s">
        <v>3820</v>
      </c>
      <c r="L1195" s="5">
        <v>14121</v>
      </c>
    </row>
    <row r="1196" spans="1:12" x14ac:dyDescent="0.25">
      <c r="A1196" s="3" t="s">
        <v>1057</v>
      </c>
      <c r="B1196" s="4" t="s">
        <v>3125</v>
      </c>
      <c r="C1196" s="4" t="s">
        <v>14</v>
      </c>
      <c r="D1196" s="4" t="s">
        <v>15</v>
      </c>
      <c r="E1196" s="5" t="str">
        <f>"9050502"</f>
        <v>9050502</v>
      </c>
      <c r="F1196" s="3" t="s">
        <v>3821</v>
      </c>
      <c r="G1196" s="5">
        <v>2102798369</v>
      </c>
      <c r="H1196" s="4" t="s">
        <v>3822</v>
      </c>
      <c r="I1196" s="4" t="s">
        <v>3257</v>
      </c>
      <c r="J1196" s="4" t="s">
        <v>3258</v>
      </c>
      <c r="K1196" s="4" t="s">
        <v>3823</v>
      </c>
      <c r="L1196" s="5">
        <v>14233</v>
      </c>
    </row>
    <row r="1197" spans="1:12" x14ac:dyDescent="0.25">
      <c r="A1197" s="3" t="s">
        <v>1057</v>
      </c>
      <c r="B1197" s="4" t="s">
        <v>3125</v>
      </c>
      <c r="C1197" s="4" t="s">
        <v>25</v>
      </c>
      <c r="D1197" s="4" t="s">
        <v>26</v>
      </c>
      <c r="E1197" s="5" t="str">
        <f>"9521046"</f>
        <v>9521046</v>
      </c>
      <c r="F1197" s="3" t="s">
        <v>3824</v>
      </c>
      <c r="G1197" s="5">
        <v>2102835788</v>
      </c>
      <c r="H1197" s="4" t="s">
        <v>3825</v>
      </c>
      <c r="I1197" s="4" t="s">
        <v>3188</v>
      </c>
      <c r="J1197" s="4" t="s">
        <v>3391</v>
      </c>
      <c r="K1197" s="4" t="s">
        <v>3826</v>
      </c>
      <c r="L1197" s="5">
        <v>14452</v>
      </c>
    </row>
    <row r="1198" spans="1:12" x14ac:dyDescent="0.25">
      <c r="A1198" s="3" t="s">
        <v>1057</v>
      </c>
      <c r="B1198" s="4" t="s">
        <v>3125</v>
      </c>
      <c r="C1198" s="4" t="s">
        <v>14</v>
      </c>
      <c r="D1198" s="4" t="s">
        <v>15</v>
      </c>
      <c r="E1198" s="5" t="str">
        <f>"9521180"</f>
        <v>9521180</v>
      </c>
      <c r="F1198" s="3" t="s">
        <v>3827</v>
      </c>
      <c r="G1198" s="5">
        <v>2108051518</v>
      </c>
      <c r="H1198" s="4" t="s">
        <v>3828</v>
      </c>
      <c r="I1198" s="4" t="s">
        <v>3212</v>
      </c>
      <c r="J1198" s="4" t="s">
        <v>3829</v>
      </c>
      <c r="K1198" s="4" t="s">
        <v>3830</v>
      </c>
      <c r="L1198" s="5">
        <v>15121</v>
      </c>
    </row>
    <row r="1199" spans="1:12" x14ac:dyDescent="0.25">
      <c r="A1199" s="3" t="s">
        <v>1057</v>
      </c>
      <c r="B1199" s="4" t="s">
        <v>3125</v>
      </c>
      <c r="C1199" s="4" t="s">
        <v>25</v>
      </c>
      <c r="D1199" s="4" t="s">
        <v>26</v>
      </c>
      <c r="E1199" s="5" t="str">
        <f>"9521183"</f>
        <v>9521183</v>
      </c>
      <c r="F1199" s="3" t="s">
        <v>3831</v>
      </c>
      <c r="G1199" s="5">
        <v>2102827090</v>
      </c>
      <c r="H1199" s="4" t="s">
        <v>3832</v>
      </c>
      <c r="I1199" s="4" t="s">
        <v>3212</v>
      </c>
      <c r="J1199" s="4" t="s">
        <v>3414</v>
      </c>
      <c r="K1199" s="4" t="s">
        <v>3833</v>
      </c>
      <c r="L1199" s="5">
        <v>14123</v>
      </c>
    </row>
    <row r="1200" spans="1:12" x14ac:dyDescent="0.25">
      <c r="A1200" s="3" t="s">
        <v>1057</v>
      </c>
      <c r="B1200" s="4" t="s">
        <v>3125</v>
      </c>
      <c r="C1200" s="4" t="s">
        <v>25</v>
      </c>
      <c r="D1200" s="4" t="s">
        <v>26</v>
      </c>
      <c r="E1200" s="5" t="str">
        <f>"9050883"</f>
        <v>9050883</v>
      </c>
      <c r="F1200" s="3" t="s">
        <v>3834</v>
      </c>
      <c r="G1200" s="5">
        <v>2102756036</v>
      </c>
      <c r="H1200" s="4" t="s">
        <v>3835</v>
      </c>
      <c r="I1200" s="4" t="s">
        <v>3257</v>
      </c>
      <c r="J1200" s="4" t="s">
        <v>3257</v>
      </c>
      <c r="K1200" s="4" t="s">
        <v>3836</v>
      </c>
      <c r="L1200" s="5">
        <v>14231</v>
      </c>
    </row>
    <row r="1201" spans="1:12" x14ac:dyDescent="0.25">
      <c r="A1201" s="3" t="s">
        <v>1057</v>
      </c>
      <c r="B1201" s="4" t="s">
        <v>3125</v>
      </c>
      <c r="C1201" s="4" t="s">
        <v>25</v>
      </c>
      <c r="D1201" s="4" t="s">
        <v>26</v>
      </c>
      <c r="E1201" s="5" t="str">
        <f>"9051213"</f>
        <v>9051213</v>
      </c>
      <c r="F1201" s="3" t="s">
        <v>3837</v>
      </c>
      <c r="G1201" s="5">
        <v>2102755771</v>
      </c>
      <c r="H1201" s="4" t="s">
        <v>3838</v>
      </c>
      <c r="I1201" s="4" t="s">
        <v>3257</v>
      </c>
      <c r="J1201" s="4" t="s">
        <v>3257</v>
      </c>
      <c r="K1201" s="4" t="s">
        <v>3839</v>
      </c>
      <c r="L1201" s="5">
        <v>14235</v>
      </c>
    </row>
    <row r="1202" spans="1:12" x14ac:dyDescent="0.25">
      <c r="A1202" s="3" t="s">
        <v>1057</v>
      </c>
      <c r="B1202" s="4" t="s">
        <v>3125</v>
      </c>
      <c r="C1202" s="4" t="s">
        <v>25</v>
      </c>
      <c r="D1202" s="4" t="s">
        <v>26</v>
      </c>
      <c r="E1202" s="5" t="str">
        <f>"9051457"</f>
        <v>9051457</v>
      </c>
      <c r="F1202" s="3" t="s">
        <v>3840</v>
      </c>
      <c r="G1202" s="5">
        <v>2102725266</v>
      </c>
      <c r="H1202" s="4" t="s">
        <v>3841</v>
      </c>
      <c r="I1202" s="4" t="s">
        <v>3257</v>
      </c>
      <c r="J1202" s="4" t="s">
        <v>3257</v>
      </c>
      <c r="K1202" s="4" t="s">
        <v>3842</v>
      </c>
      <c r="L1202" s="5">
        <v>14232</v>
      </c>
    </row>
    <row r="1203" spans="1:12" x14ac:dyDescent="0.25">
      <c r="A1203" s="3" t="s">
        <v>1057</v>
      </c>
      <c r="B1203" s="4" t="s">
        <v>3125</v>
      </c>
      <c r="C1203" s="4" t="s">
        <v>14</v>
      </c>
      <c r="D1203" s="4" t="s">
        <v>15</v>
      </c>
      <c r="E1203" s="5" t="str">
        <f>"9050506"</f>
        <v>9050506</v>
      </c>
      <c r="F1203" s="3" t="s">
        <v>3843</v>
      </c>
      <c r="G1203" s="5">
        <v>2102516836</v>
      </c>
      <c r="H1203" s="4" t="s">
        <v>3844</v>
      </c>
      <c r="I1203" s="4" t="s">
        <v>3257</v>
      </c>
      <c r="J1203" s="4" t="s">
        <v>3258</v>
      </c>
      <c r="K1203" s="4" t="s">
        <v>3845</v>
      </c>
      <c r="L1203" s="5">
        <v>14232</v>
      </c>
    </row>
    <row r="1204" spans="1:12" x14ac:dyDescent="0.25">
      <c r="A1204" s="3" t="s">
        <v>1057</v>
      </c>
      <c r="B1204" s="4" t="s">
        <v>3125</v>
      </c>
      <c r="C1204" s="4" t="s">
        <v>14</v>
      </c>
      <c r="D1204" s="4" t="s">
        <v>15</v>
      </c>
      <c r="E1204" s="5" t="str">
        <f>"9050508"</f>
        <v>9050508</v>
      </c>
      <c r="F1204" s="3" t="s">
        <v>3846</v>
      </c>
      <c r="G1204" s="5">
        <v>2102799160</v>
      </c>
      <c r="H1204" s="4" t="s">
        <v>3847</v>
      </c>
      <c r="I1204" s="4" t="s">
        <v>3257</v>
      </c>
      <c r="J1204" s="4" t="s">
        <v>3258</v>
      </c>
      <c r="K1204" s="4" t="s">
        <v>3848</v>
      </c>
      <c r="L1204" s="5">
        <v>14234</v>
      </c>
    </row>
    <row r="1205" spans="1:12" x14ac:dyDescent="0.25">
      <c r="A1205" s="3" t="s">
        <v>1057</v>
      </c>
      <c r="B1205" s="4" t="s">
        <v>3125</v>
      </c>
      <c r="C1205" s="4" t="s">
        <v>14</v>
      </c>
      <c r="D1205" s="4" t="s">
        <v>15</v>
      </c>
      <c r="E1205" s="5" t="str">
        <f>"9050487"</f>
        <v>9050487</v>
      </c>
      <c r="F1205" s="3" t="s">
        <v>3849</v>
      </c>
      <c r="G1205" s="5">
        <v>2102791011</v>
      </c>
      <c r="H1205" s="4" t="s">
        <v>3850</v>
      </c>
      <c r="I1205" s="4" t="s">
        <v>3257</v>
      </c>
      <c r="J1205" s="4" t="s">
        <v>3258</v>
      </c>
      <c r="K1205" s="4" t="s">
        <v>3851</v>
      </c>
      <c r="L1205" s="5">
        <v>14235</v>
      </c>
    </row>
    <row r="1206" spans="1:12" x14ac:dyDescent="0.25">
      <c r="A1206" s="3" t="s">
        <v>1057</v>
      </c>
      <c r="B1206" s="4" t="s">
        <v>3125</v>
      </c>
      <c r="C1206" s="4" t="s">
        <v>14</v>
      </c>
      <c r="D1206" s="4" t="s">
        <v>15</v>
      </c>
      <c r="E1206" s="5" t="str">
        <f>"9050488"</f>
        <v>9050488</v>
      </c>
      <c r="F1206" s="3" t="s">
        <v>3852</v>
      </c>
      <c r="G1206" s="5">
        <v>2102791801</v>
      </c>
      <c r="H1206" s="4" t="s">
        <v>3853</v>
      </c>
      <c r="I1206" s="4" t="s">
        <v>3257</v>
      </c>
      <c r="J1206" s="4" t="s">
        <v>3258</v>
      </c>
      <c r="K1206" s="4" t="s">
        <v>3495</v>
      </c>
      <c r="L1206" s="5">
        <v>14233</v>
      </c>
    </row>
    <row r="1207" spans="1:12" x14ac:dyDescent="0.25">
      <c r="A1207" s="3" t="s">
        <v>1057</v>
      </c>
      <c r="B1207" s="4" t="s">
        <v>3125</v>
      </c>
      <c r="C1207" s="4" t="s">
        <v>14</v>
      </c>
      <c r="D1207" s="4" t="s">
        <v>15</v>
      </c>
      <c r="E1207" s="5" t="str">
        <f>"9521179"</f>
        <v>9521179</v>
      </c>
      <c r="F1207" s="3" t="s">
        <v>3854</v>
      </c>
      <c r="G1207" s="5">
        <v>2106000211</v>
      </c>
      <c r="H1207" s="4" t="s">
        <v>3855</v>
      </c>
      <c r="I1207" s="4" t="s">
        <v>3286</v>
      </c>
      <c r="J1207" s="4" t="s">
        <v>3316</v>
      </c>
      <c r="K1207" s="4" t="s">
        <v>3856</v>
      </c>
      <c r="L1207" s="5">
        <v>15238</v>
      </c>
    </row>
    <row r="1208" spans="1:12" x14ac:dyDescent="0.25">
      <c r="A1208" s="3" t="s">
        <v>1057</v>
      </c>
      <c r="B1208" s="4" t="s">
        <v>3125</v>
      </c>
      <c r="C1208" s="4" t="s">
        <v>25</v>
      </c>
      <c r="D1208" s="4" t="s">
        <v>26</v>
      </c>
      <c r="E1208" s="5" t="str">
        <f>"9050049"</f>
        <v>9050049</v>
      </c>
      <c r="F1208" s="3" t="s">
        <v>3857</v>
      </c>
      <c r="G1208" s="5">
        <v>2106818646</v>
      </c>
      <c r="H1208" s="4" t="s">
        <v>3858</v>
      </c>
      <c r="I1208" s="4" t="s">
        <v>3133</v>
      </c>
      <c r="J1208" s="4" t="s">
        <v>3859</v>
      </c>
      <c r="K1208" s="4" t="s">
        <v>3860</v>
      </c>
      <c r="L1208" s="5">
        <v>15237</v>
      </c>
    </row>
    <row r="1209" spans="1:12" x14ac:dyDescent="0.25">
      <c r="A1209" s="3" t="s">
        <v>1057</v>
      </c>
      <c r="B1209" s="4" t="s">
        <v>3125</v>
      </c>
      <c r="C1209" s="4" t="s">
        <v>25</v>
      </c>
      <c r="D1209" s="4" t="s">
        <v>26</v>
      </c>
      <c r="E1209" s="5" t="str">
        <f>"9521181"</f>
        <v>9521181</v>
      </c>
      <c r="F1209" s="3" t="s">
        <v>3861</v>
      </c>
      <c r="G1209" s="5">
        <v>2106032144</v>
      </c>
      <c r="H1209" s="4" t="s">
        <v>3862</v>
      </c>
      <c r="I1209" s="4" t="s">
        <v>3171</v>
      </c>
      <c r="J1209" s="4" t="s">
        <v>3171</v>
      </c>
      <c r="K1209" s="4" t="s">
        <v>3863</v>
      </c>
      <c r="L1209" s="5">
        <v>15236</v>
      </c>
    </row>
    <row r="1210" spans="1:12" x14ac:dyDescent="0.25">
      <c r="A1210" s="3" t="s">
        <v>1057</v>
      </c>
      <c r="B1210" s="4" t="s">
        <v>3125</v>
      </c>
      <c r="C1210" s="4" t="s">
        <v>14</v>
      </c>
      <c r="D1210" s="4" t="s">
        <v>15</v>
      </c>
      <c r="E1210" s="5" t="str">
        <f>"9051860"</f>
        <v>9051860</v>
      </c>
      <c r="F1210" s="3" t="s">
        <v>3864</v>
      </c>
      <c r="G1210" s="5">
        <v>2106668002</v>
      </c>
      <c r="H1210" s="4" t="s">
        <v>3865</v>
      </c>
      <c r="I1210" s="4" t="s">
        <v>3171</v>
      </c>
      <c r="J1210" s="4" t="s">
        <v>3866</v>
      </c>
      <c r="K1210" s="4" t="s">
        <v>3867</v>
      </c>
      <c r="L1210" s="5">
        <v>15236</v>
      </c>
    </row>
    <row r="1211" spans="1:12" x14ac:dyDescent="0.25">
      <c r="A1211" s="3" t="s">
        <v>1057</v>
      </c>
      <c r="B1211" s="4" t="s">
        <v>3125</v>
      </c>
      <c r="C1211" s="4" t="s">
        <v>25</v>
      </c>
      <c r="D1211" s="4" t="s">
        <v>26</v>
      </c>
      <c r="E1211" s="5" t="str">
        <f>"9521182"</f>
        <v>9521182</v>
      </c>
      <c r="F1211" s="3" t="s">
        <v>3868</v>
      </c>
      <c r="G1211" s="5">
        <v>2106002991</v>
      </c>
      <c r="H1211" s="4" t="s">
        <v>3869</v>
      </c>
      <c r="I1211" s="4" t="s">
        <v>3286</v>
      </c>
      <c r="J1211" s="4" t="s">
        <v>3286</v>
      </c>
      <c r="K1211" s="4" t="s">
        <v>3870</v>
      </c>
      <c r="L1211" s="5">
        <v>15238</v>
      </c>
    </row>
    <row r="1212" spans="1:12" x14ac:dyDescent="0.25">
      <c r="A1212" s="3" t="s">
        <v>1057</v>
      </c>
      <c r="B1212" s="4" t="s">
        <v>3125</v>
      </c>
      <c r="C1212" s="4" t="s">
        <v>25</v>
      </c>
      <c r="D1212" s="4" t="s">
        <v>26</v>
      </c>
      <c r="E1212" s="5" t="str">
        <f>"9521397"</f>
        <v>9521397</v>
      </c>
      <c r="F1212" s="3" t="s">
        <v>3871</v>
      </c>
      <c r="G1212" s="5">
        <v>2106130991</v>
      </c>
      <c r="H1212" s="4" t="s">
        <v>3872</v>
      </c>
      <c r="I1212" s="4" t="s">
        <v>3128</v>
      </c>
      <c r="J1212" s="4" t="s">
        <v>3129</v>
      </c>
      <c r="K1212" s="4" t="s">
        <v>3873</v>
      </c>
      <c r="L1212" s="5">
        <v>15235</v>
      </c>
    </row>
    <row r="1213" spans="1:12" x14ac:dyDescent="0.25">
      <c r="A1213" s="3" t="s">
        <v>1057</v>
      </c>
      <c r="B1213" s="4" t="s">
        <v>3125</v>
      </c>
      <c r="C1213" s="4" t="s">
        <v>25</v>
      </c>
      <c r="D1213" s="4" t="s">
        <v>26</v>
      </c>
      <c r="E1213" s="5" t="str">
        <f>"9521498"</f>
        <v>9521498</v>
      </c>
      <c r="F1213" s="3" t="s">
        <v>3874</v>
      </c>
      <c r="G1213" s="5">
        <v>2106090364</v>
      </c>
      <c r="H1213" s="4" t="s">
        <v>3875</v>
      </c>
      <c r="I1213" s="4" t="s">
        <v>3145</v>
      </c>
      <c r="J1213" s="4" t="s">
        <v>3167</v>
      </c>
      <c r="K1213" s="4" t="s">
        <v>3876</v>
      </c>
      <c r="L1213" s="5">
        <v>15343</v>
      </c>
    </row>
    <row r="1214" spans="1:12" x14ac:dyDescent="0.25">
      <c r="A1214" s="3" t="s">
        <v>1057</v>
      </c>
      <c r="B1214" s="4" t="s">
        <v>3125</v>
      </c>
      <c r="C1214" s="4" t="s">
        <v>25</v>
      </c>
      <c r="D1214" s="4" t="s">
        <v>26</v>
      </c>
      <c r="E1214" s="5" t="str">
        <f>"9521398"</f>
        <v>9521398</v>
      </c>
      <c r="F1214" s="3" t="s">
        <v>3877</v>
      </c>
      <c r="G1214" s="5">
        <v>2108071159</v>
      </c>
      <c r="H1214" s="4" t="s">
        <v>3878</v>
      </c>
      <c r="I1214" s="4" t="s">
        <v>3202</v>
      </c>
      <c r="J1214" s="4" t="s">
        <v>3372</v>
      </c>
      <c r="K1214" s="4" t="s">
        <v>3879</v>
      </c>
      <c r="L1214" s="5">
        <v>14671</v>
      </c>
    </row>
    <row r="1215" spans="1:12" x14ac:dyDescent="0.25">
      <c r="A1215" s="3" t="s">
        <v>1057</v>
      </c>
      <c r="B1215" s="4" t="s">
        <v>3125</v>
      </c>
      <c r="C1215" s="4" t="s">
        <v>25</v>
      </c>
      <c r="D1215" s="4" t="s">
        <v>26</v>
      </c>
      <c r="E1215" s="5" t="str">
        <f>"9521685"</f>
        <v>9521685</v>
      </c>
      <c r="F1215" s="3" t="s">
        <v>3880</v>
      </c>
      <c r="G1215" s="5">
        <v>2106517373</v>
      </c>
      <c r="H1215" s="4" t="s">
        <v>3881</v>
      </c>
      <c r="I1215" s="4" t="s">
        <v>3207</v>
      </c>
      <c r="J1215" s="4" t="s">
        <v>3208</v>
      </c>
      <c r="K1215" s="4" t="s">
        <v>3882</v>
      </c>
      <c r="L1215" s="5">
        <v>15561</v>
      </c>
    </row>
    <row r="1216" spans="1:12" x14ac:dyDescent="0.25">
      <c r="A1216" s="3" t="s">
        <v>1057</v>
      </c>
      <c r="B1216" s="4" t="s">
        <v>3883</v>
      </c>
      <c r="C1216" s="4" t="s">
        <v>25</v>
      </c>
      <c r="D1216" s="4" t="s">
        <v>26</v>
      </c>
      <c r="E1216" s="5" t="str">
        <f>"9050401"</f>
        <v>9050401</v>
      </c>
      <c r="F1216" s="3" t="s">
        <v>3884</v>
      </c>
      <c r="G1216" s="5">
        <v>2105719420</v>
      </c>
      <c r="H1216" s="4" t="s">
        <v>3885</v>
      </c>
      <c r="I1216" s="4" t="s">
        <v>3886</v>
      </c>
      <c r="J1216" s="4" t="s">
        <v>3887</v>
      </c>
      <c r="K1216" s="4" t="s">
        <v>3888</v>
      </c>
      <c r="L1216" s="5">
        <v>12135</v>
      </c>
    </row>
    <row r="1217" spans="1:12" x14ac:dyDescent="0.25">
      <c r="A1217" s="3" t="s">
        <v>1057</v>
      </c>
      <c r="B1217" s="4" t="s">
        <v>3883</v>
      </c>
      <c r="C1217" s="4" t="s">
        <v>14</v>
      </c>
      <c r="D1217" s="4" t="s">
        <v>15</v>
      </c>
      <c r="E1217" s="5" t="str">
        <f>"9050441"</f>
        <v>9050441</v>
      </c>
      <c r="F1217" s="3" t="s">
        <v>3889</v>
      </c>
      <c r="G1217" s="5">
        <v>2105017123</v>
      </c>
      <c r="H1217" s="4" t="s">
        <v>3890</v>
      </c>
      <c r="I1217" s="4" t="s">
        <v>3891</v>
      </c>
      <c r="J1217" s="4" t="s">
        <v>3892</v>
      </c>
      <c r="K1217" s="4" t="s">
        <v>3893</v>
      </c>
      <c r="L1217" s="5">
        <v>13231</v>
      </c>
    </row>
    <row r="1218" spans="1:12" x14ac:dyDescent="0.25">
      <c r="A1218" s="3" t="s">
        <v>1057</v>
      </c>
      <c r="B1218" s="4" t="s">
        <v>3883</v>
      </c>
      <c r="C1218" s="4" t="s">
        <v>25</v>
      </c>
      <c r="D1218" s="4" t="s">
        <v>26</v>
      </c>
      <c r="E1218" s="5" t="str">
        <f>"9051230"</f>
        <v>9051230</v>
      </c>
      <c r="F1218" s="3" t="s">
        <v>3894</v>
      </c>
      <c r="G1218" s="5">
        <v>2105747211</v>
      </c>
      <c r="H1218" s="4" t="s">
        <v>3895</v>
      </c>
      <c r="I1218" s="4" t="s">
        <v>3886</v>
      </c>
      <c r="J1218" s="4" t="s">
        <v>3887</v>
      </c>
      <c r="K1218" s="4" t="s">
        <v>3896</v>
      </c>
      <c r="L1218" s="5">
        <v>12135</v>
      </c>
    </row>
    <row r="1219" spans="1:12" x14ac:dyDescent="0.25">
      <c r="A1219" s="3" t="s">
        <v>1057</v>
      </c>
      <c r="B1219" s="4" t="s">
        <v>3883</v>
      </c>
      <c r="C1219" s="4" t="s">
        <v>25</v>
      </c>
      <c r="D1219" s="4" t="s">
        <v>26</v>
      </c>
      <c r="E1219" s="5" t="str">
        <f>"9051513"</f>
        <v>9051513</v>
      </c>
      <c r="F1219" s="3" t="s">
        <v>3897</v>
      </c>
      <c r="G1219" s="5">
        <v>2105753747</v>
      </c>
      <c r="H1219" s="4" t="s">
        <v>3898</v>
      </c>
      <c r="I1219" s="4" t="s">
        <v>3886</v>
      </c>
      <c r="J1219" s="4" t="s">
        <v>3887</v>
      </c>
      <c r="K1219" s="4" t="s">
        <v>3899</v>
      </c>
      <c r="L1219" s="5">
        <v>12137</v>
      </c>
    </row>
    <row r="1220" spans="1:12" x14ac:dyDescent="0.25">
      <c r="A1220" s="3" t="s">
        <v>1057</v>
      </c>
      <c r="B1220" s="4" t="s">
        <v>3883</v>
      </c>
      <c r="C1220" s="4" t="s">
        <v>25</v>
      </c>
      <c r="D1220" s="4" t="s">
        <v>26</v>
      </c>
      <c r="E1220" s="5" t="str">
        <f>"9051231"</f>
        <v>9051231</v>
      </c>
      <c r="F1220" s="3" t="s">
        <v>3900</v>
      </c>
      <c r="G1220" s="5">
        <v>2105761551</v>
      </c>
      <c r="H1220" s="4" t="s">
        <v>3901</v>
      </c>
      <c r="I1220" s="4" t="s">
        <v>3886</v>
      </c>
      <c r="J1220" s="4" t="s">
        <v>3887</v>
      </c>
      <c r="K1220" s="4" t="s">
        <v>3902</v>
      </c>
      <c r="L1220" s="5">
        <v>12135</v>
      </c>
    </row>
    <row r="1221" spans="1:12" x14ac:dyDescent="0.25">
      <c r="A1221" s="3" t="s">
        <v>1057</v>
      </c>
      <c r="B1221" s="4" t="s">
        <v>3883</v>
      </c>
      <c r="C1221" s="4" t="s">
        <v>25</v>
      </c>
      <c r="D1221" s="4" t="s">
        <v>26</v>
      </c>
      <c r="E1221" s="5" t="str">
        <f>"9051228"</f>
        <v>9051228</v>
      </c>
      <c r="F1221" s="3" t="s">
        <v>3903</v>
      </c>
      <c r="G1221" s="5">
        <v>2105754163</v>
      </c>
      <c r="H1221" s="4" t="s">
        <v>3904</v>
      </c>
      <c r="I1221" s="4" t="s">
        <v>3886</v>
      </c>
      <c r="J1221" s="4" t="s">
        <v>3887</v>
      </c>
      <c r="K1221" s="4" t="s">
        <v>3905</v>
      </c>
      <c r="L1221" s="5">
        <v>12137</v>
      </c>
    </row>
    <row r="1222" spans="1:12" x14ac:dyDescent="0.25">
      <c r="A1222" s="3" t="s">
        <v>1057</v>
      </c>
      <c r="B1222" s="4" t="s">
        <v>3883</v>
      </c>
      <c r="C1222" s="4" t="s">
        <v>25</v>
      </c>
      <c r="D1222" s="4" t="s">
        <v>26</v>
      </c>
      <c r="E1222" s="5" t="str">
        <f>"9051227"</f>
        <v>9051227</v>
      </c>
      <c r="F1222" s="3" t="s">
        <v>3906</v>
      </c>
      <c r="G1222" s="5">
        <v>2169006275</v>
      </c>
      <c r="H1222" s="4" t="s">
        <v>3907</v>
      </c>
      <c r="I1222" s="4" t="s">
        <v>3886</v>
      </c>
      <c r="J1222" s="4" t="s">
        <v>3887</v>
      </c>
      <c r="K1222" s="4" t="s">
        <v>3908</v>
      </c>
      <c r="L1222" s="5">
        <v>12131</v>
      </c>
    </row>
    <row r="1223" spans="1:12" x14ac:dyDescent="0.25">
      <c r="A1223" s="3" t="s">
        <v>1057</v>
      </c>
      <c r="B1223" s="4" t="s">
        <v>3883</v>
      </c>
      <c r="C1223" s="4" t="s">
        <v>25</v>
      </c>
      <c r="D1223" s="4" t="s">
        <v>26</v>
      </c>
      <c r="E1223" s="5" t="str">
        <f>"9051235"</f>
        <v>9051235</v>
      </c>
      <c r="F1223" s="3" t="s">
        <v>3909</v>
      </c>
      <c r="G1223" s="5">
        <v>2105778621</v>
      </c>
      <c r="H1223" s="4" t="s">
        <v>3910</v>
      </c>
      <c r="I1223" s="4" t="s">
        <v>3886</v>
      </c>
      <c r="J1223" s="4" t="s">
        <v>3887</v>
      </c>
      <c r="K1223" s="4" t="s">
        <v>3911</v>
      </c>
      <c r="L1223" s="5">
        <v>12137</v>
      </c>
    </row>
    <row r="1224" spans="1:12" x14ac:dyDescent="0.25">
      <c r="A1224" s="3" t="s">
        <v>1057</v>
      </c>
      <c r="B1224" s="4" t="s">
        <v>3883</v>
      </c>
      <c r="C1224" s="4" t="s">
        <v>14</v>
      </c>
      <c r="D1224" s="4" t="s">
        <v>15</v>
      </c>
      <c r="E1224" s="5" t="str">
        <f>"9050417"</f>
        <v>9050417</v>
      </c>
      <c r="F1224" s="3" t="s">
        <v>3912</v>
      </c>
      <c r="G1224" s="5">
        <v>2102315989</v>
      </c>
      <c r="H1224" s="4" t="s">
        <v>3913</v>
      </c>
      <c r="I1224" s="4" t="s">
        <v>3914</v>
      </c>
      <c r="J1224" s="4" t="s">
        <v>3915</v>
      </c>
      <c r="K1224" s="4" t="s">
        <v>3916</v>
      </c>
      <c r="L1224" s="5">
        <v>13562</v>
      </c>
    </row>
    <row r="1225" spans="1:12" x14ac:dyDescent="0.25">
      <c r="A1225" s="3" t="s">
        <v>1057</v>
      </c>
      <c r="B1225" s="4" t="s">
        <v>3883</v>
      </c>
      <c r="C1225" s="4" t="s">
        <v>25</v>
      </c>
      <c r="D1225" s="4" t="s">
        <v>26</v>
      </c>
      <c r="E1225" s="5" t="str">
        <f>"9051459"</f>
        <v>9051459</v>
      </c>
      <c r="F1225" s="3" t="s">
        <v>3917</v>
      </c>
      <c r="G1225" s="5">
        <v>2105697896</v>
      </c>
      <c r="H1225" s="4" t="s">
        <v>3918</v>
      </c>
      <c r="I1225" s="4" t="s">
        <v>3919</v>
      </c>
      <c r="J1225" s="4" t="s">
        <v>3920</v>
      </c>
      <c r="K1225" s="4" t="s">
        <v>3921</v>
      </c>
      <c r="L1225" s="5">
        <v>12351</v>
      </c>
    </row>
    <row r="1226" spans="1:12" x14ac:dyDescent="0.25">
      <c r="A1226" s="3" t="s">
        <v>1057</v>
      </c>
      <c r="B1226" s="4" t="s">
        <v>3883</v>
      </c>
      <c r="C1226" s="4" t="s">
        <v>25</v>
      </c>
      <c r="D1226" s="4" t="s">
        <v>26</v>
      </c>
      <c r="E1226" s="5" t="str">
        <f>"9050838"</f>
        <v>9050838</v>
      </c>
      <c r="F1226" s="3" t="s">
        <v>3922</v>
      </c>
      <c r="G1226" s="5">
        <v>2105447580</v>
      </c>
      <c r="H1226" s="4" t="s">
        <v>3923</v>
      </c>
      <c r="I1226" s="4" t="s">
        <v>3919</v>
      </c>
      <c r="J1226" s="4" t="s">
        <v>3920</v>
      </c>
      <c r="K1226" s="4" t="s">
        <v>3924</v>
      </c>
      <c r="L1226" s="5">
        <v>12351</v>
      </c>
    </row>
    <row r="1227" spans="1:12" x14ac:dyDescent="0.25">
      <c r="A1227" s="3" t="s">
        <v>1057</v>
      </c>
      <c r="B1227" s="4" t="s">
        <v>3883</v>
      </c>
      <c r="C1227" s="4" t="s">
        <v>25</v>
      </c>
      <c r="D1227" s="4" t="s">
        <v>26</v>
      </c>
      <c r="E1227" s="5" t="str">
        <f>"9050406"</f>
        <v>9050406</v>
      </c>
      <c r="F1227" s="3" t="s">
        <v>3925</v>
      </c>
      <c r="G1227" s="5">
        <v>2105768126</v>
      </c>
      <c r="H1227" s="4" t="s">
        <v>3926</v>
      </c>
      <c r="I1227" s="4" t="s">
        <v>3886</v>
      </c>
      <c r="J1227" s="4" t="s">
        <v>3887</v>
      </c>
      <c r="K1227" s="4" t="s">
        <v>3927</v>
      </c>
      <c r="L1227" s="5">
        <v>12136</v>
      </c>
    </row>
    <row r="1228" spans="1:12" x14ac:dyDescent="0.25">
      <c r="A1228" s="3" t="s">
        <v>1057</v>
      </c>
      <c r="B1228" s="4" t="s">
        <v>3883</v>
      </c>
      <c r="C1228" s="4" t="s">
        <v>25</v>
      </c>
      <c r="D1228" s="4" t="s">
        <v>26</v>
      </c>
      <c r="E1228" s="5" t="str">
        <f>"9051056"</f>
        <v>9051056</v>
      </c>
      <c r="F1228" s="3" t="s">
        <v>3928</v>
      </c>
      <c r="G1228" s="5">
        <v>2105723746</v>
      </c>
      <c r="H1228" s="4" t="s">
        <v>3929</v>
      </c>
      <c r="I1228" s="4" t="s">
        <v>3886</v>
      </c>
      <c r="J1228" s="4" t="s">
        <v>3887</v>
      </c>
      <c r="K1228" s="4" t="s">
        <v>3930</v>
      </c>
      <c r="L1228" s="5">
        <v>12131</v>
      </c>
    </row>
    <row r="1229" spans="1:12" x14ac:dyDescent="0.25">
      <c r="A1229" s="3" t="s">
        <v>1057</v>
      </c>
      <c r="B1229" s="4" t="s">
        <v>3883</v>
      </c>
      <c r="C1229" s="4" t="s">
        <v>25</v>
      </c>
      <c r="D1229" s="4" t="s">
        <v>26</v>
      </c>
      <c r="E1229" s="5" t="str">
        <f>"9050862"</f>
        <v>9050862</v>
      </c>
      <c r="F1229" s="3" t="s">
        <v>3931</v>
      </c>
      <c r="G1229" s="5">
        <v>2105737560</v>
      </c>
      <c r="H1229" s="4" t="s">
        <v>3932</v>
      </c>
      <c r="I1229" s="4" t="s">
        <v>3886</v>
      </c>
      <c r="J1229" s="4" t="s">
        <v>3887</v>
      </c>
      <c r="K1229" s="4" t="s">
        <v>3933</v>
      </c>
      <c r="L1229" s="5">
        <v>12136</v>
      </c>
    </row>
    <row r="1230" spans="1:12" x14ac:dyDescent="0.25">
      <c r="A1230" s="3" t="s">
        <v>1057</v>
      </c>
      <c r="B1230" s="4" t="s">
        <v>3883</v>
      </c>
      <c r="C1230" s="4" t="s">
        <v>14</v>
      </c>
      <c r="D1230" s="4" t="s">
        <v>15</v>
      </c>
      <c r="E1230" s="5" t="str">
        <f>"9050373"</f>
        <v>9050373</v>
      </c>
      <c r="F1230" s="3" t="s">
        <v>3934</v>
      </c>
      <c r="G1230" s="5">
        <v>2105813451</v>
      </c>
      <c r="H1230" s="4" t="s">
        <v>3935</v>
      </c>
      <c r="I1230" s="4" t="s">
        <v>3936</v>
      </c>
      <c r="J1230" s="4" t="s">
        <v>3937</v>
      </c>
      <c r="K1230" s="4" t="s">
        <v>3938</v>
      </c>
      <c r="L1230" s="5">
        <v>12461</v>
      </c>
    </row>
    <row r="1231" spans="1:12" x14ac:dyDescent="0.25">
      <c r="A1231" s="3" t="s">
        <v>1057</v>
      </c>
      <c r="B1231" s="4" t="s">
        <v>3883</v>
      </c>
      <c r="C1231" s="4" t="s">
        <v>14</v>
      </c>
      <c r="D1231" s="4" t="s">
        <v>15</v>
      </c>
      <c r="E1231" s="5" t="str">
        <f>"9050414"</f>
        <v>9050414</v>
      </c>
      <c r="F1231" s="3" t="s">
        <v>3939</v>
      </c>
      <c r="G1231" s="5">
        <v>2108325377</v>
      </c>
      <c r="H1231" s="4" t="s">
        <v>3940</v>
      </c>
      <c r="I1231" s="4" t="s">
        <v>3914</v>
      </c>
      <c r="J1231" s="4" t="s">
        <v>3915</v>
      </c>
      <c r="K1231" s="4" t="s">
        <v>3941</v>
      </c>
      <c r="L1231" s="5">
        <v>13561</v>
      </c>
    </row>
    <row r="1232" spans="1:12" x14ac:dyDescent="0.25">
      <c r="A1232" s="3" t="s">
        <v>1057</v>
      </c>
      <c r="B1232" s="4" t="s">
        <v>3883</v>
      </c>
      <c r="C1232" s="4" t="s">
        <v>25</v>
      </c>
      <c r="D1232" s="4" t="s">
        <v>26</v>
      </c>
      <c r="E1232" s="5" t="str">
        <f>"9051313"</f>
        <v>9051313</v>
      </c>
      <c r="F1232" s="3" t="s">
        <v>3942</v>
      </c>
      <c r="G1232" s="5">
        <v>2105445365</v>
      </c>
      <c r="H1232" s="4" t="s">
        <v>3943</v>
      </c>
      <c r="I1232" s="4" t="s">
        <v>3919</v>
      </c>
      <c r="J1232" s="4" t="s">
        <v>3920</v>
      </c>
      <c r="K1232" s="4" t="s">
        <v>3944</v>
      </c>
      <c r="L1232" s="5">
        <v>12351</v>
      </c>
    </row>
    <row r="1233" spans="1:12" x14ac:dyDescent="0.25">
      <c r="A1233" s="3" t="s">
        <v>1057</v>
      </c>
      <c r="B1233" s="4" t="s">
        <v>3883</v>
      </c>
      <c r="C1233" s="4" t="s">
        <v>14</v>
      </c>
      <c r="D1233" s="4" t="s">
        <v>15</v>
      </c>
      <c r="E1233" s="5" t="str">
        <f>"9050376"</f>
        <v>9050376</v>
      </c>
      <c r="F1233" s="3" t="s">
        <v>3945</v>
      </c>
      <c r="G1233" s="5">
        <v>2105324488</v>
      </c>
      <c r="H1233" s="4" t="s">
        <v>3946</v>
      </c>
      <c r="I1233" s="4" t="s">
        <v>3936</v>
      </c>
      <c r="J1233" s="4" t="s">
        <v>3947</v>
      </c>
      <c r="K1233" s="4" t="s">
        <v>3948</v>
      </c>
      <c r="L1233" s="5">
        <v>12462</v>
      </c>
    </row>
    <row r="1234" spans="1:12" x14ac:dyDescent="0.25">
      <c r="A1234" s="3" t="s">
        <v>1057</v>
      </c>
      <c r="B1234" s="4" t="s">
        <v>3883</v>
      </c>
      <c r="C1234" s="4" t="s">
        <v>25</v>
      </c>
      <c r="D1234" s="4" t="s">
        <v>26</v>
      </c>
      <c r="E1234" s="5" t="str">
        <f>"9050345"</f>
        <v>9050345</v>
      </c>
      <c r="F1234" s="3" t="s">
        <v>3949</v>
      </c>
      <c r="G1234" s="5">
        <v>2105904734</v>
      </c>
      <c r="H1234" s="4" t="s">
        <v>3950</v>
      </c>
      <c r="I1234" s="4" t="s">
        <v>3951</v>
      </c>
      <c r="J1234" s="4" t="s">
        <v>3951</v>
      </c>
      <c r="K1234" s="4" t="s">
        <v>3952</v>
      </c>
      <c r="L1234" s="5">
        <v>12242</v>
      </c>
    </row>
    <row r="1235" spans="1:12" x14ac:dyDescent="0.25">
      <c r="A1235" s="3" t="s">
        <v>1057</v>
      </c>
      <c r="B1235" s="4" t="s">
        <v>3883</v>
      </c>
      <c r="C1235" s="4" t="s">
        <v>25</v>
      </c>
      <c r="D1235" s="4" t="s">
        <v>26</v>
      </c>
      <c r="E1235" s="5" t="str">
        <f>"9050338"</f>
        <v>9050338</v>
      </c>
      <c r="F1235" s="3" t="s">
        <v>3953</v>
      </c>
      <c r="G1235" s="5">
        <v>2105612019</v>
      </c>
      <c r="H1235" s="4" t="s">
        <v>3954</v>
      </c>
      <c r="I1235" s="4" t="s">
        <v>3919</v>
      </c>
      <c r="J1235" s="4" t="s">
        <v>3920</v>
      </c>
      <c r="K1235" s="4" t="s">
        <v>3955</v>
      </c>
      <c r="L1235" s="5">
        <v>12351</v>
      </c>
    </row>
    <row r="1236" spans="1:12" x14ac:dyDescent="0.25">
      <c r="A1236" s="3" t="s">
        <v>1057</v>
      </c>
      <c r="B1236" s="4" t="s">
        <v>3883</v>
      </c>
      <c r="C1236" s="4" t="s">
        <v>25</v>
      </c>
      <c r="D1236" s="4" t="s">
        <v>26</v>
      </c>
      <c r="E1236" s="5" t="str">
        <f>"9050435"</f>
        <v>9050435</v>
      </c>
      <c r="F1236" s="3" t="s">
        <v>3956</v>
      </c>
      <c r="G1236" s="5">
        <v>2102617500</v>
      </c>
      <c r="H1236" s="4" t="s">
        <v>3957</v>
      </c>
      <c r="I1236" s="4" t="s">
        <v>3958</v>
      </c>
      <c r="J1236" s="4" t="s">
        <v>3959</v>
      </c>
      <c r="K1236" s="4" t="s">
        <v>3960</v>
      </c>
      <c r="L1236" s="5">
        <v>13122</v>
      </c>
    </row>
    <row r="1237" spans="1:12" x14ac:dyDescent="0.25">
      <c r="A1237" s="3" t="s">
        <v>1057</v>
      </c>
      <c r="B1237" s="4" t="s">
        <v>3883</v>
      </c>
      <c r="C1237" s="4" t="s">
        <v>14</v>
      </c>
      <c r="D1237" s="4" t="s">
        <v>15</v>
      </c>
      <c r="E1237" s="5" t="str">
        <f>"9050366"</f>
        <v>9050366</v>
      </c>
      <c r="F1237" s="3" t="s">
        <v>3961</v>
      </c>
      <c r="G1237" s="5">
        <v>2105982757</v>
      </c>
      <c r="H1237" s="4" t="s">
        <v>3962</v>
      </c>
      <c r="I1237" s="4" t="s">
        <v>3951</v>
      </c>
      <c r="J1237" s="4" t="s">
        <v>3951</v>
      </c>
      <c r="K1237" s="4" t="s">
        <v>3963</v>
      </c>
      <c r="L1237" s="5">
        <v>12242</v>
      </c>
    </row>
    <row r="1238" spans="1:12" x14ac:dyDescent="0.25">
      <c r="A1238" s="3" t="s">
        <v>1057</v>
      </c>
      <c r="B1238" s="4" t="s">
        <v>3883</v>
      </c>
      <c r="C1238" s="4" t="s">
        <v>25</v>
      </c>
      <c r="D1238" s="4" t="s">
        <v>26</v>
      </c>
      <c r="E1238" s="5" t="str">
        <f>"9050359"</f>
        <v>9050359</v>
      </c>
      <c r="F1238" s="3" t="s">
        <v>3964</v>
      </c>
      <c r="G1238" s="5">
        <v>2105317827</v>
      </c>
      <c r="H1238" s="4" t="s">
        <v>3965</v>
      </c>
      <c r="I1238" s="4" t="s">
        <v>3951</v>
      </c>
      <c r="J1238" s="4" t="s">
        <v>3951</v>
      </c>
      <c r="K1238" s="4" t="s">
        <v>3966</v>
      </c>
      <c r="L1238" s="5">
        <v>12244</v>
      </c>
    </row>
    <row r="1239" spans="1:12" x14ac:dyDescent="0.25">
      <c r="A1239" s="3" t="s">
        <v>1057</v>
      </c>
      <c r="B1239" s="4" t="s">
        <v>3883</v>
      </c>
      <c r="C1239" s="4" t="s">
        <v>25</v>
      </c>
      <c r="D1239" s="4" t="s">
        <v>26</v>
      </c>
      <c r="E1239" s="5" t="str">
        <f>"9050983"</f>
        <v>9050983</v>
      </c>
      <c r="F1239" s="3" t="s">
        <v>3967</v>
      </c>
      <c r="G1239" s="5">
        <v>2105452616</v>
      </c>
      <c r="H1239" s="4" t="s">
        <v>3968</v>
      </c>
      <c r="I1239" s="4" t="s">
        <v>3951</v>
      </c>
      <c r="J1239" s="4" t="s">
        <v>3951</v>
      </c>
      <c r="K1239" s="4" t="s">
        <v>3969</v>
      </c>
      <c r="L1239" s="5">
        <v>12241</v>
      </c>
    </row>
    <row r="1240" spans="1:12" x14ac:dyDescent="0.25">
      <c r="A1240" s="3" t="s">
        <v>1057</v>
      </c>
      <c r="B1240" s="4" t="s">
        <v>3883</v>
      </c>
      <c r="C1240" s="4" t="s">
        <v>25</v>
      </c>
      <c r="D1240" s="4" t="s">
        <v>26</v>
      </c>
      <c r="E1240" s="5" t="str">
        <f>"9051529"</f>
        <v>9051529</v>
      </c>
      <c r="F1240" s="3" t="s">
        <v>3970</v>
      </c>
      <c r="G1240" s="5">
        <v>2105445933</v>
      </c>
      <c r="H1240" s="4" t="s">
        <v>3971</v>
      </c>
      <c r="I1240" s="4" t="s">
        <v>3919</v>
      </c>
      <c r="J1240" s="4" t="s">
        <v>3920</v>
      </c>
      <c r="K1240" s="4" t="s">
        <v>3972</v>
      </c>
      <c r="L1240" s="5">
        <v>12351</v>
      </c>
    </row>
    <row r="1241" spans="1:12" x14ac:dyDescent="0.25">
      <c r="A1241" s="3" t="s">
        <v>1057</v>
      </c>
      <c r="B1241" s="4" t="s">
        <v>3883</v>
      </c>
      <c r="C1241" s="4" t="s">
        <v>25</v>
      </c>
      <c r="D1241" s="4" t="s">
        <v>26</v>
      </c>
      <c r="E1241" s="5" t="str">
        <f>"9050436"</f>
        <v>9050436</v>
      </c>
      <c r="F1241" s="3" t="s">
        <v>3973</v>
      </c>
      <c r="G1241" s="5">
        <v>2105020750</v>
      </c>
      <c r="H1241" s="4" t="s">
        <v>3974</v>
      </c>
      <c r="I1241" s="4" t="s">
        <v>3958</v>
      </c>
      <c r="J1241" s="4" t="s">
        <v>3959</v>
      </c>
      <c r="K1241" s="4" t="s">
        <v>3975</v>
      </c>
      <c r="L1241" s="5">
        <v>13121</v>
      </c>
    </row>
    <row r="1242" spans="1:12" x14ac:dyDescent="0.25">
      <c r="A1242" s="3" t="s">
        <v>1057</v>
      </c>
      <c r="B1242" s="4" t="s">
        <v>3883</v>
      </c>
      <c r="C1242" s="4" t="s">
        <v>14</v>
      </c>
      <c r="D1242" s="4" t="s">
        <v>15</v>
      </c>
      <c r="E1242" s="5" t="str">
        <f>"9050348"</f>
        <v>9050348</v>
      </c>
      <c r="F1242" s="3" t="s">
        <v>3976</v>
      </c>
      <c r="G1242" s="5">
        <v>2105613754</v>
      </c>
      <c r="H1242" s="4" t="s">
        <v>3977</v>
      </c>
      <c r="I1242" s="4" t="s">
        <v>3951</v>
      </c>
      <c r="J1242" s="4" t="s">
        <v>3951</v>
      </c>
      <c r="K1242" s="4" t="s">
        <v>3978</v>
      </c>
      <c r="L1242" s="5">
        <v>12244</v>
      </c>
    </row>
    <row r="1243" spans="1:12" x14ac:dyDescent="0.25">
      <c r="A1243" s="3" t="s">
        <v>1057</v>
      </c>
      <c r="B1243" s="4" t="s">
        <v>3883</v>
      </c>
      <c r="C1243" s="4" t="s">
        <v>14</v>
      </c>
      <c r="D1243" s="4" t="s">
        <v>15</v>
      </c>
      <c r="E1243" s="5" t="str">
        <f>"9050829"</f>
        <v>9050829</v>
      </c>
      <c r="F1243" s="3" t="s">
        <v>3979</v>
      </c>
      <c r="G1243" s="5">
        <v>2105028595</v>
      </c>
      <c r="H1243" s="4" t="s">
        <v>3980</v>
      </c>
      <c r="I1243" s="4" t="s">
        <v>3958</v>
      </c>
      <c r="J1243" s="4" t="s">
        <v>3981</v>
      </c>
      <c r="K1243" s="4" t="s">
        <v>3982</v>
      </c>
      <c r="L1243" s="5">
        <v>13123</v>
      </c>
    </row>
    <row r="1244" spans="1:12" x14ac:dyDescent="0.25">
      <c r="A1244" s="3" t="s">
        <v>1057</v>
      </c>
      <c r="B1244" s="4" t="s">
        <v>3883</v>
      </c>
      <c r="C1244" s="4" t="s">
        <v>25</v>
      </c>
      <c r="D1244" s="4" t="s">
        <v>26</v>
      </c>
      <c r="E1244" s="5" t="str">
        <f>"9050767"</f>
        <v>9050767</v>
      </c>
      <c r="F1244" s="3" t="s">
        <v>3983</v>
      </c>
      <c r="G1244" s="5">
        <v>2102690443</v>
      </c>
      <c r="H1244" s="4" t="s">
        <v>3984</v>
      </c>
      <c r="I1244" s="4" t="s">
        <v>3958</v>
      </c>
      <c r="J1244" s="4" t="s">
        <v>3959</v>
      </c>
      <c r="K1244" s="4" t="s">
        <v>3985</v>
      </c>
      <c r="L1244" s="5">
        <v>13121</v>
      </c>
    </row>
    <row r="1245" spans="1:12" x14ac:dyDescent="0.25">
      <c r="A1245" s="3" t="s">
        <v>1057</v>
      </c>
      <c r="B1245" s="4" t="s">
        <v>3883</v>
      </c>
      <c r="C1245" s="4" t="s">
        <v>14</v>
      </c>
      <c r="D1245" s="4" t="s">
        <v>15</v>
      </c>
      <c r="E1245" s="5" t="str">
        <f>"9050386"</f>
        <v>9050386</v>
      </c>
      <c r="F1245" s="3" t="s">
        <v>3986</v>
      </c>
      <c r="G1245" s="5">
        <v>2105759938</v>
      </c>
      <c r="H1245" s="4" t="s">
        <v>3987</v>
      </c>
      <c r="I1245" s="4" t="s">
        <v>3886</v>
      </c>
      <c r="J1245" s="4" t="s">
        <v>3887</v>
      </c>
      <c r="K1245" s="4" t="s">
        <v>3988</v>
      </c>
      <c r="L1245" s="5">
        <v>12137</v>
      </c>
    </row>
    <row r="1246" spans="1:12" x14ac:dyDescent="0.25">
      <c r="A1246" s="3" t="s">
        <v>1057</v>
      </c>
      <c r="B1246" s="4" t="s">
        <v>3883</v>
      </c>
      <c r="C1246" s="4" t="s">
        <v>25</v>
      </c>
      <c r="D1246" s="4" t="s">
        <v>26</v>
      </c>
      <c r="E1246" s="5" t="str">
        <f>"9050335"</f>
        <v>9050335</v>
      </c>
      <c r="F1246" s="3" t="s">
        <v>3989</v>
      </c>
      <c r="G1246" s="5">
        <v>2105445039</v>
      </c>
      <c r="H1246" s="4" t="s">
        <v>3990</v>
      </c>
      <c r="I1246" s="4" t="s">
        <v>3919</v>
      </c>
      <c r="J1246" s="4" t="s">
        <v>3920</v>
      </c>
      <c r="K1246" s="4" t="s">
        <v>3991</v>
      </c>
      <c r="L1246" s="5">
        <v>12351</v>
      </c>
    </row>
    <row r="1247" spans="1:12" x14ac:dyDescent="0.25">
      <c r="A1247" s="3" t="s">
        <v>1057</v>
      </c>
      <c r="B1247" s="4" t="s">
        <v>3883</v>
      </c>
      <c r="C1247" s="4" t="s">
        <v>25</v>
      </c>
      <c r="D1247" s="4" t="s">
        <v>26</v>
      </c>
      <c r="E1247" s="5" t="str">
        <f>"9050768"</f>
        <v>9050768</v>
      </c>
      <c r="F1247" s="3" t="s">
        <v>3992</v>
      </c>
      <c r="G1247" s="5">
        <v>2105019700</v>
      </c>
      <c r="H1247" s="4" t="s">
        <v>3993</v>
      </c>
      <c r="I1247" s="4" t="s">
        <v>3958</v>
      </c>
      <c r="J1247" s="4" t="s">
        <v>3959</v>
      </c>
      <c r="K1247" s="4" t="s">
        <v>3994</v>
      </c>
      <c r="L1247" s="5">
        <v>13123</v>
      </c>
    </row>
    <row r="1248" spans="1:12" x14ac:dyDescent="0.25">
      <c r="A1248" s="3" t="s">
        <v>1057</v>
      </c>
      <c r="B1248" s="4" t="s">
        <v>3883</v>
      </c>
      <c r="C1248" s="4" t="s">
        <v>14</v>
      </c>
      <c r="D1248" s="4" t="s">
        <v>15</v>
      </c>
      <c r="E1248" s="5" t="str">
        <f>"9050369"</f>
        <v>9050369</v>
      </c>
      <c r="F1248" s="3" t="s">
        <v>3995</v>
      </c>
      <c r="G1248" s="5">
        <v>2105815138</v>
      </c>
      <c r="H1248" s="4" t="s">
        <v>3996</v>
      </c>
      <c r="I1248" s="4" t="s">
        <v>3936</v>
      </c>
      <c r="J1248" s="4" t="s">
        <v>3947</v>
      </c>
      <c r="K1248" s="4" t="s">
        <v>3997</v>
      </c>
      <c r="L1248" s="5">
        <v>12462</v>
      </c>
    </row>
    <row r="1249" spans="1:12" x14ac:dyDescent="0.25">
      <c r="A1249" s="3" t="s">
        <v>1057</v>
      </c>
      <c r="B1249" s="4" t="s">
        <v>3883</v>
      </c>
      <c r="C1249" s="4" t="s">
        <v>14</v>
      </c>
      <c r="D1249" s="4" t="s">
        <v>15</v>
      </c>
      <c r="E1249" s="5" t="str">
        <f>"9051613"</f>
        <v>9051613</v>
      </c>
      <c r="F1249" s="3" t="s">
        <v>3998</v>
      </c>
      <c r="G1249" s="5">
        <v>2131300552</v>
      </c>
      <c r="H1249" s="4" t="s">
        <v>3999</v>
      </c>
      <c r="I1249" s="4" t="s">
        <v>3936</v>
      </c>
      <c r="J1249" s="4" t="s">
        <v>3947</v>
      </c>
      <c r="K1249" s="4" t="s">
        <v>4000</v>
      </c>
      <c r="L1249" s="5">
        <v>12461</v>
      </c>
    </row>
    <row r="1250" spans="1:12" x14ac:dyDescent="0.25">
      <c r="A1250" s="3" t="s">
        <v>1057</v>
      </c>
      <c r="B1250" s="4" t="s">
        <v>3883</v>
      </c>
      <c r="C1250" s="4" t="s">
        <v>25</v>
      </c>
      <c r="D1250" s="4" t="s">
        <v>26</v>
      </c>
      <c r="E1250" s="5" t="str">
        <f>"9050866"</f>
        <v>9050866</v>
      </c>
      <c r="F1250" s="3" t="s">
        <v>4001</v>
      </c>
      <c r="G1250" s="5">
        <v>2102637431</v>
      </c>
      <c r="H1250" s="4" t="s">
        <v>4002</v>
      </c>
      <c r="I1250" s="4" t="s">
        <v>3958</v>
      </c>
      <c r="J1250" s="4" t="s">
        <v>3959</v>
      </c>
      <c r="K1250" s="4" t="s">
        <v>4003</v>
      </c>
      <c r="L1250" s="5">
        <v>13121</v>
      </c>
    </row>
    <row r="1251" spans="1:12" x14ac:dyDescent="0.25">
      <c r="A1251" s="3" t="s">
        <v>1057</v>
      </c>
      <c r="B1251" s="4" t="s">
        <v>3883</v>
      </c>
      <c r="C1251" s="4" t="s">
        <v>14</v>
      </c>
      <c r="D1251" s="4" t="s">
        <v>15</v>
      </c>
      <c r="E1251" s="5" t="str">
        <f>"9050346"</f>
        <v>9050346</v>
      </c>
      <c r="F1251" s="3" t="s">
        <v>4004</v>
      </c>
      <c r="G1251" s="5">
        <v>2105445175</v>
      </c>
      <c r="H1251" s="4" t="s">
        <v>4005</v>
      </c>
      <c r="I1251" s="4" t="s">
        <v>3951</v>
      </c>
      <c r="J1251" s="4" t="s">
        <v>3951</v>
      </c>
      <c r="K1251" s="4" t="s">
        <v>4006</v>
      </c>
      <c r="L1251" s="5">
        <v>12244</v>
      </c>
    </row>
    <row r="1252" spans="1:12" x14ac:dyDescent="0.25">
      <c r="A1252" s="3" t="s">
        <v>1057</v>
      </c>
      <c r="B1252" s="4" t="s">
        <v>3883</v>
      </c>
      <c r="C1252" s="4" t="s">
        <v>14</v>
      </c>
      <c r="D1252" s="4" t="s">
        <v>15</v>
      </c>
      <c r="E1252" s="5" t="str">
        <f>"9050425"</f>
        <v>9050425</v>
      </c>
      <c r="F1252" s="3" t="s">
        <v>4007</v>
      </c>
      <c r="G1252" s="5">
        <v>2102612083</v>
      </c>
      <c r="H1252" s="4" t="s">
        <v>4008</v>
      </c>
      <c r="I1252" s="4" t="s">
        <v>3958</v>
      </c>
      <c r="J1252" s="4" t="s">
        <v>3981</v>
      </c>
      <c r="K1252" s="4" t="s">
        <v>3985</v>
      </c>
      <c r="L1252" s="5">
        <v>13121</v>
      </c>
    </row>
    <row r="1253" spans="1:12" x14ac:dyDescent="0.25">
      <c r="A1253" s="3" t="s">
        <v>1057</v>
      </c>
      <c r="B1253" s="4" t="s">
        <v>3883</v>
      </c>
      <c r="C1253" s="4" t="s">
        <v>14</v>
      </c>
      <c r="D1253" s="4" t="s">
        <v>15</v>
      </c>
      <c r="E1253" s="5" t="str">
        <f>"9050342"</f>
        <v>9050342</v>
      </c>
      <c r="F1253" s="3" t="s">
        <v>4009</v>
      </c>
      <c r="G1253" s="5">
        <v>2105610430</v>
      </c>
      <c r="H1253" s="4" t="s">
        <v>4010</v>
      </c>
      <c r="I1253" s="4" t="s">
        <v>3919</v>
      </c>
      <c r="J1253" s="4" t="s">
        <v>3920</v>
      </c>
      <c r="K1253" s="4" t="s">
        <v>4011</v>
      </c>
      <c r="L1253" s="5">
        <v>12351</v>
      </c>
    </row>
    <row r="1254" spans="1:12" x14ac:dyDescent="0.25">
      <c r="A1254" s="3" t="s">
        <v>1057</v>
      </c>
      <c r="B1254" s="4" t="s">
        <v>3883</v>
      </c>
      <c r="C1254" s="4" t="s">
        <v>25</v>
      </c>
      <c r="D1254" s="4" t="s">
        <v>26</v>
      </c>
      <c r="E1254" s="5" t="str">
        <f>"9051066"</f>
        <v>9051066</v>
      </c>
      <c r="F1254" s="3" t="s">
        <v>4012</v>
      </c>
      <c r="G1254" s="5">
        <v>2105015199</v>
      </c>
      <c r="H1254" s="4" t="s">
        <v>4013</v>
      </c>
      <c r="I1254" s="4" t="s">
        <v>3891</v>
      </c>
      <c r="J1254" s="4" t="s">
        <v>4014</v>
      </c>
      <c r="K1254" s="4" t="s">
        <v>4015</v>
      </c>
      <c r="L1254" s="5">
        <v>13231</v>
      </c>
    </row>
    <row r="1255" spans="1:12" x14ac:dyDescent="0.25">
      <c r="A1255" s="3" t="s">
        <v>1057</v>
      </c>
      <c r="B1255" s="4" t="s">
        <v>3883</v>
      </c>
      <c r="C1255" s="4" t="s">
        <v>25</v>
      </c>
      <c r="D1255" s="4" t="s">
        <v>26</v>
      </c>
      <c r="E1255" s="5" t="str">
        <f>"9050867"</f>
        <v>9050867</v>
      </c>
      <c r="F1255" s="3" t="s">
        <v>4016</v>
      </c>
      <c r="G1255" s="5">
        <v>2105765945</v>
      </c>
      <c r="H1255" s="4" t="s">
        <v>4017</v>
      </c>
      <c r="I1255" s="4" t="s">
        <v>3958</v>
      </c>
      <c r="J1255" s="4" t="s">
        <v>3959</v>
      </c>
      <c r="K1255" s="4" t="s">
        <v>4018</v>
      </c>
      <c r="L1255" s="5">
        <v>13121</v>
      </c>
    </row>
    <row r="1256" spans="1:12" x14ac:dyDescent="0.25">
      <c r="A1256" s="3" t="s">
        <v>1057</v>
      </c>
      <c r="B1256" s="4" t="s">
        <v>3883</v>
      </c>
      <c r="C1256" s="4" t="s">
        <v>25</v>
      </c>
      <c r="D1256" s="4" t="s">
        <v>26</v>
      </c>
      <c r="E1256" s="5" t="str">
        <f>"9051307"</f>
        <v>9051307</v>
      </c>
      <c r="F1256" s="3" t="s">
        <v>4019</v>
      </c>
      <c r="G1256" s="5">
        <v>2105010316</v>
      </c>
      <c r="H1256" s="4" t="s">
        <v>4020</v>
      </c>
      <c r="I1256" s="4" t="s">
        <v>3891</v>
      </c>
      <c r="J1256" s="4" t="s">
        <v>4021</v>
      </c>
      <c r="K1256" s="4" t="s">
        <v>4022</v>
      </c>
      <c r="L1256" s="5">
        <v>13231</v>
      </c>
    </row>
    <row r="1257" spans="1:12" ht="30" x14ac:dyDescent="0.25">
      <c r="A1257" s="3" t="s">
        <v>1057</v>
      </c>
      <c r="B1257" s="4" t="s">
        <v>3883</v>
      </c>
      <c r="C1257" s="4" t="s">
        <v>14</v>
      </c>
      <c r="D1257" s="4" t="s">
        <v>15</v>
      </c>
      <c r="E1257" s="5" t="str">
        <f>"9051147"</f>
        <v>9051147</v>
      </c>
      <c r="F1257" s="3" t="s">
        <v>4023</v>
      </c>
      <c r="G1257" s="5">
        <v>2105011887</v>
      </c>
      <c r="H1257" s="4" t="s">
        <v>4024</v>
      </c>
      <c r="I1257" s="4" t="s">
        <v>3891</v>
      </c>
      <c r="J1257" s="4" t="s">
        <v>3892</v>
      </c>
      <c r="K1257" s="4" t="s">
        <v>4025</v>
      </c>
      <c r="L1257" s="5">
        <v>13231</v>
      </c>
    </row>
    <row r="1258" spans="1:12" x14ac:dyDescent="0.25">
      <c r="A1258" s="3" t="s">
        <v>1057</v>
      </c>
      <c r="B1258" s="4" t="s">
        <v>3883</v>
      </c>
      <c r="C1258" s="4" t="s">
        <v>25</v>
      </c>
      <c r="D1258" s="4" t="s">
        <v>26</v>
      </c>
      <c r="E1258" s="5" t="str">
        <f>"9050868"</f>
        <v>9050868</v>
      </c>
      <c r="F1258" s="3" t="s">
        <v>4026</v>
      </c>
      <c r="G1258" s="5">
        <v>2105023740</v>
      </c>
      <c r="H1258" s="4" t="s">
        <v>4027</v>
      </c>
      <c r="I1258" s="4" t="s">
        <v>3958</v>
      </c>
      <c r="J1258" s="4" t="s">
        <v>3959</v>
      </c>
      <c r="K1258" s="4" t="s">
        <v>4028</v>
      </c>
      <c r="L1258" s="5">
        <v>13123</v>
      </c>
    </row>
    <row r="1259" spans="1:12" x14ac:dyDescent="0.25">
      <c r="A1259" s="3" t="s">
        <v>1057</v>
      </c>
      <c r="B1259" s="4" t="s">
        <v>3883</v>
      </c>
      <c r="C1259" s="4" t="s">
        <v>25</v>
      </c>
      <c r="D1259" s="4" t="s">
        <v>26</v>
      </c>
      <c r="E1259" s="5" t="str">
        <f>"9051308"</f>
        <v>9051308</v>
      </c>
      <c r="F1259" s="3" t="s">
        <v>4029</v>
      </c>
      <c r="G1259" s="5">
        <v>2105014154</v>
      </c>
      <c r="H1259" s="4" t="s">
        <v>4030</v>
      </c>
      <c r="I1259" s="4" t="s">
        <v>3891</v>
      </c>
      <c r="J1259" s="4" t="s">
        <v>4014</v>
      </c>
      <c r="K1259" s="4" t="s">
        <v>4031</v>
      </c>
      <c r="L1259" s="5">
        <v>13231</v>
      </c>
    </row>
    <row r="1260" spans="1:12" x14ac:dyDescent="0.25">
      <c r="A1260" s="3" t="s">
        <v>1057</v>
      </c>
      <c r="B1260" s="4" t="s">
        <v>3883</v>
      </c>
      <c r="C1260" s="4" t="s">
        <v>25</v>
      </c>
      <c r="D1260" s="4" t="s">
        <v>26</v>
      </c>
      <c r="E1260" s="5" t="str">
        <f>"9051424"</f>
        <v>9051424</v>
      </c>
      <c r="F1260" s="3" t="s">
        <v>4032</v>
      </c>
      <c r="G1260" s="5">
        <v>2105023366</v>
      </c>
      <c r="H1260" s="4" t="s">
        <v>4033</v>
      </c>
      <c r="I1260" s="4" t="s">
        <v>3891</v>
      </c>
      <c r="J1260" s="4" t="s">
        <v>4014</v>
      </c>
      <c r="K1260" s="4" t="s">
        <v>4034</v>
      </c>
      <c r="L1260" s="5">
        <v>13231</v>
      </c>
    </row>
    <row r="1261" spans="1:12" x14ac:dyDescent="0.25">
      <c r="A1261" s="3" t="s">
        <v>1057</v>
      </c>
      <c r="B1261" s="4" t="s">
        <v>3883</v>
      </c>
      <c r="C1261" s="4" t="s">
        <v>25</v>
      </c>
      <c r="D1261" s="4" t="s">
        <v>26</v>
      </c>
      <c r="E1261" s="5" t="str">
        <f>"9050987"</f>
        <v>9050987</v>
      </c>
      <c r="F1261" s="3" t="s">
        <v>4035</v>
      </c>
      <c r="G1261" s="5">
        <v>2102637455</v>
      </c>
      <c r="H1261" s="4" t="s">
        <v>4036</v>
      </c>
      <c r="I1261" s="4" t="s">
        <v>3958</v>
      </c>
      <c r="J1261" s="4" t="s">
        <v>3959</v>
      </c>
      <c r="K1261" s="4" t="s">
        <v>4037</v>
      </c>
      <c r="L1261" s="5">
        <v>13122</v>
      </c>
    </row>
    <row r="1262" spans="1:12" x14ac:dyDescent="0.25">
      <c r="A1262" s="3" t="s">
        <v>1057</v>
      </c>
      <c r="B1262" s="4" t="s">
        <v>3883</v>
      </c>
      <c r="C1262" s="4" t="s">
        <v>25</v>
      </c>
      <c r="D1262" s="4" t="s">
        <v>26</v>
      </c>
      <c r="E1262" s="5" t="str">
        <f>"9051061"</f>
        <v>9051061</v>
      </c>
      <c r="F1262" s="3" t="s">
        <v>4038</v>
      </c>
      <c r="G1262" s="5">
        <v>2102635292</v>
      </c>
      <c r="H1262" s="4" t="s">
        <v>4039</v>
      </c>
      <c r="I1262" s="4" t="s">
        <v>3958</v>
      </c>
      <c r="J1262" s="4" t="s">
        <v>3959</v>
      </c>
      <c r="K1262" s="4" t="s">
        <v>4040</v>
      </c>
      <c r="L1262" s="5">
        <v>13122</v>
      </c>
    </row>
    <row r="1263" spans="1:12" x14ac:dyDescent="0.25">
      <c r="A1263" s="3" t="s">
        <v>1057</v>
      </c>
      <c r="B1263" s="4" t="s">
        <v>3883</v>
      </c>
      <c r="C1263" s="4" t="s">
        <v>25</v>
      </c>
      <c r="D1263" s="4" t="s">
        <v>26</v>
      </c>
      <c r="E1263" s="5" t="str">
        <f>"9051062"</f>
        <v>9051062</v>
      </c>
      <c r="F1263" s="3" t="s">
        <v>4041</v>
      </c>
      <c r="G1263" s="5">
        <v>2105781161</v>
      </c>
      <c r="H1263" s="4" t="s">
        <v>4042</v>
      </c>
      <c r="I1263" s="4" t="s">
        <v>3958</v>
      </c>
      <c r="J1263" s="4" t="s">
        <v>3959</v>
      </c>
      <c r="K1263" s="4" t="s">
        <v>4043</v>
      </c>
      <c r="L1263" s="5">
        <v>13122</v>
      </c>
    </row>
    <row r="1264" spans="1:12" x14ac:dyDescent="0.25">
      <c r="A1264" s="3" t="s">
        <v>1057</v>
      </c>
      <c r="B1264" s="4" t="s">
        <v>3883</v>
      </c>
      <c r="C1264" s="4" t="s">
        <v>25</v>
      </c>
      <c r="D1264" s="4" t="s">
        <v>26</v>
      </c>
      <c r="E1264" s="5" t="str">
        <f>"9050420"</f>
        <v>9050420</v>
      </c>
      <c r="F1264" s="3" t="s">
        <v>4044</v>
      </c>
      <c r="G1264" s="5">
        <v>2102621429</v>
      </c>
      <c r="H1264" s="4" t="s">
        <v>4045</v>
      </c>
      <c r="I1264" s="4" t="s">
        <v>3914</v>
      </c>
      <c r="J1264" s="4" t="s">
        <v>1071</v>
      </c>
      <c r="K1264" s="4" t="s">
        <v>4046</v>
      </c>
      <c r="L1264" s="5">
        <v>13561</v>
      </c>
    </row>
    <row r="1265" spans="1:12" x14ac:dyDescent="0.25">
      <c r="A1265" s="3" t="s">
        <v>1057</v>
      </c>
      <c r="B1265" s="4" t="s">
        <v>3883</v>
      </c>
      <c r="C1265" s="4" t="s">
        <v>25</v>
      </c>
      <c r="D1265" s="4" t="s">
        <v>26</v>
      </c>
      <c r="E1265" s="5" t="str">
        <f>"9050769"</f>
        <v>9050769</v>
      </c>
      <c r="F1265" s="3" t="s">
        <v>4047</v>
      </c>
      <c r="G1265" s="5">
        <v>2102621300</v>
      </c>
      <c r="H1265" s="4" t="s">
        <v>4048</v>
      </c>
      <c r="I1265" s="4" t="s">
        <v>3914</v>
      </c>
      <c r="J1265" s="4" t="s">
        <v>3915</v>
      </c>
      <c r="K1265" s="4" t="s">
        <v>4049</v>
      </c>
      <c r="L1265" s="5">
        <v>13562</v>
      </c>
    </row>
    <row r="1266" spans="1:12" x14ac:dyDescent="0.25">
      <c r="A1266" s="3" t="s">
        <v>1057</v>
      </c>
      <c r="B1266" s="4" t="s">
        <v>3883</v>
      </c>
      <c r="C1266" s="4" t="s">
        <v>14</v>
      </c>
      <c r="D1266" s="4" t="s">
        <v>15</v>
      </c>
      <c r="E1266" s="5" t="str">
        <f>"9051154"</f>
        <v>9051154</v>
      </c>
      <c r="F1266" s="3" t="s">
        <v>4050</v>
      </c>
      <c r="G1266" s="5">
        <v>2105817941</v>
      </c>
      <c r="H1266" s="4" t="s">
        <v>4051</v>
      </c>
      <c r="I1266" s="4" t="s">
        <v>3936</v>
      </c>
      <c r="J1266" s="4" t="s">
        <v>3947</v>
      </c>
      <c r="K1266" s="4" t="s">
        <v>4052</v>
      </c>
      <c r="L1266" s="5">
        <v>12462</v>
      </c>
    </row>
    <row r="1267" spans="1:12" x14ac:dyDescent="0.25">
      <c r="A1267" s="3" t="s">
        <v>1057</v>
      </c>
      <c r="B1267" s="4" t="s">
        <v>3883</v>
      </c>
      <c r="C1267" s="4" t="s">
        <v>14</v>
      </c>
      <c r="D1267" s="4" t="s">
        <v>15</v>
      </c>
      <c r="E1267" s="5" t="str">
        <f>"9050403"</f>
        <v>9050403</v>
      </c>
      <c r="F1267" s="3" t="s">
        <v>4053</v>
      </c>
      <c r="G1267" s="5">
        <v>2105313128</v>
      </c>
      <c r="H1267" s="4" t="s">
        <v>4054</v>
      </c>
      <c r="I1267" s="4" t="s">
        <v>3886</v>
      </c>
      <c r="J1267" s="4" t="s">
        <v>3887</v>
      </c>
      <c r="K1267" s="4" t="s">
        <v>4055</v>
      </c>
      <c r="L1267" s="5">
        <v>12131</v>
      </c>
    </row>
    <row r="1268" spans="1:12" x14ac:dyDescent="0.25">
      <c r="A1268" s="3" t="s">
        <v>1057</v>
      </c>
      <c r="B1268" s="4" t="s">
        <v>3883</v>
      </c>
      <c r="C1268" s="4" t="s">
        <v>14</v>
      </c>
      <c r="D1268" s="4" t="s">
        <v>15</v>
      </c>
      <c r="E1268" s="5" t="str">
        <f>"9050962"</f>
        <v>9050962</v>
      </c>
      <c r="F1268" s="3" t="s">
        <v>4056</v>
      </c>
      <c r="G1268" s="5">
        <v>2105010340</v>
      </c>
      <c r="H1268" s="4" t="s">
        <v>4057</v>
      </c>
      <c r="I1268" s="4" t="s">
        <v>3891</v>
      </c>
      <c r="J1268" s="4" t="s">
        <v>3892</v>
      </c>
      <c r="K1268" s="4" t="s">
        <v>4058</v>
      </c>
      <c r="L1268" s="5">
        <v>13231</v>
      </c>
    </row>
    <row r="1269" spans="1:12" x14ac:dyDescent="0.25">
      <c r="A1269" s="3" t="s">
        <v>1057</v>
      </c>
      <c r="B1269" s="4" t="s">
        <v>3883</v>
      </c>
      <c r="C1269" s="4" t="s">
        <v>14</v>
      </c>
      <c r="D1269" s="4" t="s">
        <v>15</v>
      </c>
      <c r="E1269" s="5" t="str">
        <f>"9050065"</f>
        <v>9050065</v>
      </c>
      <c r="F1269" s="3" t="s">
        <v>4059</v>
      </c>
      <c r="G1269" s="5">
        <v>2105017623</v>
      </c>
      <c r="H1269" s="4" t="s">
        <v>4060</v>
      </c>
      <c r="I1269" s="4" t="s">
        <v>3891</v>
      </c>
      <c r="J1269" s="4" t="s">
        <v>3892</v>
      </c>
      <c r="K1269" s="4" t="s">
        <v>4061</v>
      </c>
      <c r="L1269" s="5">
        <v>13231</v>
      </c>
    </row>
    <row r="1270" spans="1:12" x14ac:dyDescent="0.25">
      <c r="A1270" s="3" t="s">
        <v>1057</v>
      </c>
      <c r="B1270" s="4" t="s">
        <v>3883</v>
      </c>
      <c r="C1270" s="4" t="s">
        <v>14</v>
      </c>
      <c r="D1270" s="4" t="s">
        <v>15</v>
      </c>
      <c r="E1270" s="5" t="str">
        <f>"9050677"</f>
        <v>9050677</v>
      </c>
      <c r="F1270" s="3" t="s">
        <v>4062</v>
      </c>
      <c r="G1270" s="5">
        <v>2105316375</v>
      </c>
      <c r="H1270" s="4" t="s">
        <v>4063</v>
      </c>
      <c r="I1270" s="4" t="s">
        <v>3936</v>
      </c>
      <c r="J1270" s="4" t="s">
        <v>3947</v>
      </c>
      <c r="K1270" s="4" t="s">
        <v>4064</v>
      </c>
      <c r="L1270" s="5">
        <v>12461</v>
      </c>
    </row>
    <row r="1271" spans="1:12" x14ac:dyDescent="0.25">
      <c r="A1271" s="3" t="s">
        <v>1057</v>
      </c>
      <c r="B1271" s="4" t="s">
        <v>3883</v>
      </c>
      <c r="C1271" s="4" t="s">
        <v>14</v>
      </c>
      <c r="D1271" s="4" t="s">
        <v>15</v>
      </c>
      <c r="E1271" s="5" t="str">
        <f>"9051272"</f>
        <v>9051272</v>
      </c>
      <c r="F1271" s="3" t="s">
        <v>4065</v>
      </c>
      <c r="G1271" s="5">
        <v>2102693104</v>
      </c>
      <c r="H1271" s="4" t="s">
        <v>4066</v>
      </c>
      <c r="I1271" s="4" t="s">
        <v>3914</v>
      </c>
      <c r="J1271" s="4" t="s">
        <v>3915</v>
      </c>
      <c r="K1271" s="4" t="s">
        <v>4067</v>
      </c>
      <c r="L1271" s="5">
        <v>13561</v>
      </c>
    </row>
    <row r="1272" spans="1:12" x14ac:dyDescent="0.25">
      <c r="A1272" s="3" t="s">
        <v>1057</v>
      </c>
      <c r="B1272" s="4" t="s">
        <v>3883</v>
      </c>
      <c r="C1272" s="4" t="s">
        <v>14</v>
      </c>
      <c r="D1272" s="4" t="s">
        <v>15</v>
      </c>
      <c r="E1272" s="5" t="str">
        <f>"9050410"</f>
        <v>9050410</v>
      </c>
      <c r="F1272" s="3" t="s">
        <v>4068</v>
      </c>
      <c r="G1272" s="5">
        <v>2105711673</v>
      </c>
      <c r="H1272" s="4" t="s">
        <v>4069</v>
      </c>
      <c r="I1272" s="4" t="s">
        <v>3886</v>
      </c>
      <c r="J1272" s="4" t="s">
        <v>3887</v>
      </c>
      <c r="K1272" s="4" t="s">
        <v>4070</v>
      </c>
      <c r="L1272" s="5">
        <v>12136</v>
      </c>
    </row>
    <row r="1273" spans="1:12" x14ac:dyDescent="0.25">
      <c r="A1273" s="3" t="s">
        <v>1057</v>
      </c>
      <c r="B1273" s="4" t="s">
        <v>3883</v>
      </c>
      <c r="C1273" s="4" t="s">
        <v>14</v>
      </c>
      <c r="D1273" s="4" t="s">
        <v>15</v>
      </c>
      <c r="E1273" s="5" t="str">
        <f>"9050679"</f>
        <v>9050679</v>
      </c>
      <c r="F1273" s="3" t="s">
        <v>4071</v>
      </c>
      <c r="G1273" s="5">
        <v>2102319495</v>
      </c>
      <c r="H1273" s="4" t="s">
        <v>4072</v>
      </c>
      <c r="I1273" s="4" t="s">
        <v>3914</v>
      </c>
      <c r="J1273" s="4" t="s">
        <v>3915</v>
      </c>
      <c r="K1273" s="4" t="s">
        <v>4073</v>
      </c>
      <c r="L1273" s="5">
        <v>13562</v>
      </c>
    </row>
    <row r="1274" spans="1:12" x14ac:dyDescent="0.25">
      <c r="A1274" s="3" t="s">
        <v>1057</v>
      </c>
      <c r="B1274" s="4" t="s">
        <v>3883</v>
      </c>
      <c r="C1274" s="4" t="s">
        <v>14</v>
      </c>
      <c r="D1274" s="4" t="s">
        <v>15</v>
      </c>
      <c r="E1274" s="5" t="str">
        <f>"9050341"</f>
        <v>9050341</v>
      </c>
      <c r="F1274" s="3" t="s">
        <v>4074</v>
      </c>
      <c r="G1274" s="5">
        <v>2105615256</v>
      </c>
      <c r="H1274" s="4" t="s">
        <v>4075</v>
      </c>
      <c r="I1274" s="4" t="s">
        <v>3919</v>
      </c>
      <c r="J1274" s="4" t="s">
        <v>3920</v>
      </c>
      <c r="K1274" s="4" t="s">
        <v>4076</v>
      </c>
      <c r="L1274" s="5">
        <v>12351</v>
      </c>
    </row>
    <row r="1275" spans="1:12" x14ac:dyDescent="0.25">
      <c r="A1275" s="3" t="s">
        <v>1057</v>
      </c>
      <c r="B1275" s="4" t="s">
        <v>3883</v>
      </c>
      <c r="C1275" s="4" t="s">
        <v>14</v>
      </c>
      <c r="D1275" s="4" t="s">
        <v>15</v>
      </c>
      <c r="E1275" s="5" t="str">
        <f>"9050433"</f>
        <v>9050433</v>
      </c>
      <c r="F1275" s="3" t="s">
        <v>4077</v>
      </c>
      <c r="G1275" s="5">
        <v>2102615727</v>
      </c>
      <c r="H1275" s="4" t="s">
        <v>4078</v>
      </c>
      <c r="I1275" s="4" t="s">
        <v>3958</v>
      </c>
      <c r="J1275" s="4" t="s">
        <v>3981</v>
      </c>
      <c r="K1275" s="4" t="s">
        <v>4079</v>
      </c>
      <c r="L1275" s="5">
        <v>13123</v>
      </c>
    </row>
    <row r="1276" spans="1:12" x14ac:dyDescent="0.25">
      <c r="A1276" s="3" t="s">
        <v>1057</v>
      </c>
      <c r="B1276" s="4" t="s">
        <v>3883</v>
      </c>
      <c r="C1276" s="4" t="s">
        <v>25</v>
      </c>
      <c r="D1276" s="4" t="s">
        <v>26</v>
      </c>
      <c r="E1276" s="5" t="str">
        <f>"9051433"</f>
        <v>9051433</v>
      </c>
      <c r="F1276" s="3" t="s">
        <v>4080</v>
      </c>
      <c r="G1276" s="5">
        <v>2105317677</v>
      </c>
      <c r="H1276" s="4" t="s">
        <v>4081</v>
      </c>
      <c r="I1276" s="4" t="s">
        <v>3936</v>
      </c>
      <c r="J1276" s="4" t="s">
        <v>4082</v>
      </c>
      <c r="K1276" s="4" t="s">
        <v>4083</v>
      </c>
      <c r="L1276" s="5">
        <v>12461</v>
      </c>
    </row>
    <row r="1277" spans="1:12" x14ac:dyDescent="0.25">
      <c r="A1277" s="3" t="s">
        <v>1057</v>
      </c>
      <c r="B1277" s="4" t="s">
        <v>3883</v>
      </c>
      <c r="C1277" s="4" t="s">
        <v>14</v>
      </c>
      <c r="D1277" s="4" t="s">
        <v>15</v>
      </c>
      <c r="E1277" s="5" t="str">
        <f>"9050383"</f>
        <v>9050383</v>
      </c>
      <c r="F1277" s="3" t="s">
        <v>4084</v>
      </c>
      <c r="G1277" s="5">
        <v>2131302798</v>
      </c>
      <c r="H1277" s="4" t="s">
        <v>4085</v>
      </c>
      <c r="I1277" s="4" t="s">
        <v>3886</v>
      </c>
      <c r="J1277" s="4" t="s">
        <v>3887</v>
      </c>
      <c r="K1277" s="4" t="s">
        <v>4086</v>
      </c>
      <c r="L1277" s="5">
        <v>12136</v>
      </c>
    </row>
    <row r="1278" spans="1:12" x14ac:dyDescent="0.25">
      <c r="A1278" s="3" t="s">
        <v>1057</v>
      </c>
      <c r="B1278" s="4" t="s">
        <v>3883</v>
      </c>
      <c r="C1278" s="4" t="s">
        <v>14</v>
      </c>
      <c r="D1278" s="4" t="s">
        <v>15</v>
      </c>
      <c r="E1278" s="5" t="str">
        <f>"9050437"</f>
        <v>9050437</v>
      </c>
      <c r="F1278" s="3" t="s">
        <v>4087</v>
      </c>
      <c r="G1278" s="5">
        <v>2105010528</v>
      </c>
      <c r="H1278" s="4" t="s">
        <v>4088</v>
      </c>
      <c r="I1278" s="4" t="s">
        <v>3891</v>
      </c>
      <c r="J1278" s="4" t="s">
        <v>3892</v>
      </c>
      <c r="K1278" s="4" t="s">
        <v>4089</v>
      </c>
      <c r="L1278" s="5">
        <v>13232</v>
      </c>
    </row>
    <row r="1279" spans="1:12" x14ac:dyDescent="0.25">
      <c r="A1279" s="3" t="s">
        <v>1057</v>
      </c>
      <c r="B1279" s="4" t="s">
        <v>3883</v>
      </c>
      <c r="C1279" s="4" t="s">
        <v>25</v>
      </c>
      <c r="D1279" s="4" t="s">
        <v>26</v>
      </c>
      <c r="E1279" s="5" t="str">
        <f>"9050857"</f>
        <v>9050857</v>
      </c>
      <c r="F1279" s="3" t="s">
        <v>4090</v>
      </c>
      <c r="G1279" s="5">
        <v>2105692733</v>
      </c>
      <c r="H1279" s="4" t="s">
        <v>4091</v>
      </c>
      <c r="I1279" s="4" t="s">
        <v>3951</v>
      </c>
      <c r="J1279" s="4" t="s">
        <v>3951</v>
      </c>
      <c r="K1279" s="4" t="s">
        <v>4092</v>
      </c>
      <c r="L1279" s="5">
        <v>12244</v>
      </c>
    </row>
    <row r="1280" spans="1:12" x14ac:dyDescent="0.25">
      <c r="A1280" s="3" t="s">
        <v>1057</v>
      </c>
      <c r="B1280" s="4" t="s">
        <v>3883</v>
      </c>
      <c r="C1280" s="4" t="s">
        <v>25</v>
      </c>
      <c r="D1280" s="4" t="s">
        <v>26</v>
      </c>
      <c r="E1280" s="5" t="str">
        <f>"9050842"</f>
        <v>9050842</v>
      </c>
      <c r="F1280" s="3" t="s">
        <v>4093</v>
      </c>
      <c r="G1280" s="5">
        <v>2108542394</v>
      </c>
      <c r="H1280" s="4" t="s">
        <v>4094</v>
      </c>
      <c r="I1280" s="4" t="s">
        <v>3914</v>
      </c>
      <c r="J1280" s="4" t="s">
        <v>3915</v>
      </c>
      <c r="K1280" s="4" t="s">
        <v>4095</v>
      </c>
      <c r="L1280" s="5">
        <v>13561</v>
      </c>
    </row>
    <row r="1281" spans="1:12" x14ac:dyDescent="0.25">
      <c r="A1281" s="3" t="s">
        <v>1057</v>
      </c>
      <c r="B1281" s="4" t="s">
        <v>3883</v>
      </c>
      <c r="C1281" s="4" t="s">
        <v>25</v>
      </c>
      <c r="D1281" s="4" t="s">
        <v>26</v>
      </c>
      <c r="E1281" s="5" t="str">
        <f>"9051420"</f>
        <v>9051420</v>
      </c>
      <c r="F1281" s="3" t="s">
        <v>4096</v>
      </c>
      <c r="G1281" s="5">
        <v>2105698678</v>
      </c>
      <c r="H1281" s="4" t="s">
        <v>4097</v>
      </c>
      <c r="I1281" s="4" t="s">
        <v>3951</v>
      </c>
      <c r="J1281" s="4" t="s">
        <v>3951</v>
      </c>
      <c r="K1281" s="4" t="s">
        <v>4098</v>
      </c>
      <c r="L1281" s="5">
        <v>12241</v>
      </c>
    </row>
    <row r="1282" spans="1:12" x14ac:dyDescent="0.25">
      <c r="A1282" s="3" t="s">
        <v>1057</v>
      </c>
      <c r="B1282" s="4" t="s">
        <v>3883</v>
      </c>
      <c r="C1282" s="4" t="s">
        <v>25</v>
      </c>
      <c r="D1282" s="4" t="s">
        <v>26</v>
      </c>
      <c r="E1282" s="5" t="str">
        <f>"9050984"</f>
        <v>9050984</v>
      </c>
      <c r="F1282" s="3" t="s">
        <v>4099</v>
      </c>
      <c r="G1282" s="5">
        <v>2105451144</v>
      </c>
      <c r="H1282" s="4" t="s">
        <v>4100</v>
      </c>
      <c r="I1282" s="4" t="s">
        <v>3951</v>
      </c>
      <c r="J1282" s="4" t="s">
        <v>3951</v>
      </c>
      <c r="K1282" s="4" t="s">
        <v>4101</v>
      </c>
      <c r="L1282" s="5">
        <v>12244</v>
      </c>
    </row>
    <row r="1283" spans="1:12" x14ac:dyDescent="0.25">
      <c r="A1283" s="3" t="s">
        <v>1057</v>
      </c>
      <c r="B1283" s="4" t="s">
        <v>3883</v>
      </c>
      <c r="C1283" s="4" t="s">
        <v>25</v>
      </c>
      <c r="D1283" s="4" t="s">
        <v>26</v>
      </c>
      <c r="E1283" s="5" t="str">
        <f>"9051637"</f>
        <v>9051637</v>
      </c>
      <c r="F1283" s="3" t="s">
        <v>4102</v>
      </c>
      <c r="G1283" s="5">
        <v>2105020666</v>
      </c>
      <c r="H1283" s="4" t="s">
        <v>4103</v>
      </c>
      <c r="I1283" s="4" t="s">
        <v>3891</v>
      </c>
      <c r="J1283" s="4" t="s">
        <v>3892</v>
      </c>
      <c r="K1283" s="4" t="s">
        <v>4104</v>
      </c>
      <c r="L1283" s="5">
        <v>13231</v>
      </c>
    </row>
    <row r="1284" spans="1:12" x14ac:dyDescent="0.25">
      <c r="A1284" s="3" t="s">
        <v>1057</v>
      </c>
      <c r="B1284" s="4" t="s">
        <v>3883</v>
      </c>
      <c r="C1284" s="4" t="s">
        <v>25</v>
      </c>
      <c r="D1284" s="4" t="s">
        <v>26</v>
      </c>
      <c r="E1284" s="5" t="str">
        <f>"9050865"</f>
        <v>9050865</v>
      </c>
      <c r="F1284" s="3" t="s">
        <v>4105</v>
      </c>
      <c r="G1284" s="5">
        <v>2102611921</v>
      </c>
      <c r="H1284" s="4" t="s">
        <v>4106</v>
      </c>
      <c r="I1284" s="4" t="s">
        <v>3914</v>
      </c>
      <c r="J1284" s="4" t="s">
        <v>3915</v>
      </c>
      <c r="K1284" s="4" t="s">
        <v>4107</v>
      </c>
      <c r="L1284" s="5">
        <v>13562</v>
      </c>
    </row>
    <row r="1285" spans="1:12" x14ac:dyDescent="0.25">
      <c r="A1285" s="3" t="s">
        <v>1057</v>
      </c>
      <c r="B1285" s="4" t="s">
        <v>3883</v>
      </c>
      <c r="C1285" s="4" t="s">
        <v>14</v>
      </c>
      <c r="D1285" s="4" t="s">
        <v>15</v>
      </c>
      <c r="E1285" s="5" t="str">
        <f>"9050391"</f>
        <v>9050391</v>
      </c>
      <c r="F1285" s="3" t="s">
        <v>4108</v>
      </c>
      <c r="G1285" s="5">
        <v>2105711184</v>
      </c>
      <c r="H1285" s="4" t="s">
        <v>4109</v>
      </c>
      <c r="I1285" s="4" t="s">
        <v>3886</v>
      </c>
      <c r="J1285" s="4" t="s">
        <v>3887</v>
      </c>
      <c r="K1285" s="4" t="s">
        <v>4110</v>
      </c>
      <c r="L1285" s="5">
        <v>12133</v>
      </c>
    </row>
    <row r="1286" spans="1:12" x14ac:dyDescent="0.25">
      <c r="A1286" s="3" t="s">
        <v>1057</v>
      </c>
      <c r="B1286" s="4" t="s">
        <v>3883</v>
      </c>
      <c r="C1286" s="4" t="s">
        <v>14</v>
      </c>
      <c r="D1286" s="4" t="s">
        <v>15</v>
      </c>
      <c r="E1286" s="5" t="str">
        <f>"9050828"</f>
        <v>9050828</v>
      </c>
      <c r="F1286" s="3" t="s">
        <v>4111</v>
      </c>
      <c r="G1286" s="5">
        <v>2105754345</v>
      </c>
      <c r="H1286" s="4" t="s">
        <v>4112</v>
      </c>
      <c r="I1286" s="4" t="s">
        <v>3958</v>
      </c>
      <c r="J1286" s="4" t="s">
        <v>3981</v>
      </c>
      <c r="K1286" s="4" t="s">
        <v>4113</v>
      </c>
      <c r="L1286" s="5">
        <v>13121</v>
      </c>
    </row>
    <row r="1287" spans="1:12" x14ac:dyDescent="0.25">
      <c r="A1287" s="3" t="s">
        <v>1057</v>
      </c>
      <c r="B1287" s="4" t="s">
        <v>3883</v>
      </c>
      <c r="C1287" s="4" t="s">
        <v>14</v>
      </c>
      <c r="D1287" s="4" t="s">
        <v>830</v>
      </c>
      <c r="E1287" s="5" t="str">
        <f>"9050676"</f>
        <v>9050676</v>
      </c>
      <c r="F1287" s="3" t="s">
        <v>4114</v>
      </c>
      <c r="G1287" s="5">
        <v>2105614261</v>
      </c>
      <c r="H1287" s="4" t="s">
        <v>4115</v>
      </c>
      <c r="I1287" s="4" t="s">
        <v>3919</v>
      </c>
      <c r="J1287" s="4" t="s">
        <v>3920</v>
      </c>
      <c r="K1287" s="4" t="s">
        <v>4116</v>
      </c>
      <c r="L1287" s="5">
        <v>12351</v>
      </c>
    </row>
    <row r="1288" spans="1:12" x14ac:dyDescent="0.25">
      <c r="A1288" s="3" t="s">
        <v>1057</v>
      </c>
      <c r="B1288" s="4" t="s">
        <v>3883</v>
      </c>
      <c r="C1288" s="4" t="s">
        <v>25</v>
      </c>
      <c r="D1288" s="4" t="s">
        <v>26</v>
      </c>
      <c r="E1288" s="5" t="str">
        <f>"9050364"</f>
        <v>9050364</v>
      </c>
      <c r="F1288" s="3" t="s">
        <v>4117</v>
      </c>
      <c r="G1288" s="5">
        <v>2105313067</v>
      </c>
      <c r="H1288" s="4" t="s">
        <v>4118</v>
      </c>
      <c r="I1288" s="4" t="s">
        <v>3951</v>
      </c>
      <c r="J1288" s="4" t="s">
        <v>3951</v>
      </c>
      <c r="K1288" s="4" t="s">
        <v>4119</v>
      </c>
      <c r="L1288" s="5">
        <v>12243</v>
      </c>
    </row>
    <row r="1289" spans="1:12" x14ac:dyDescent="0.25">
      <c r="A1289" s="3" t="s">
        <v>1057</v>
      </c>
      <c r="B1289" s="4" t="s">
        <v>3883</v>
      </c>
      <c r="C1289" s="4" t="s">
        <v>14</v>
      </c>
      <c r="D1289" s="4" t="s">
        <v>15</v>
      </c>
      <c r="E1289" s="5" t="str">
        <f>"9051467"</f>
        <v>9051467</v>
      </c>
      <c r="F1289" s="3" t="s">
        <v>4120</v>
      </c>
      <c r="G1289" s="5">
        <v>2105746313</v>
      </c>
      <c r="H1289" s="4" t="s">
        <v>4121</v>
      </c>
      <c r="I1289" s="4" t="s">
        <v>3886</v>
      </c>
      <c r="J1289" s="4" t="s">
        <v>3887</v>
      </c>
      <c r="K1289" s="4" t="s">
        <v>4122</v>
      </c>
      <c r="L1289" s="5">
        <v>12137</v>
      </c>
    </row>
    <row r="1290" spans="1:12" x14ac:dyDescent="0.25">
      <c r="A1290" s="3" t="s">
        <v>1057</v>
      </c>
      <c r="B1290" s="4" t="s">
        <v>3883</v>
      </c>
      <c r="C1290" s="4" t="s">
        <v>25</v>
      </c>
      <c r="D1290" s="4" t="s">
        <v>26</v>
      </c>
      <c r="E1290" s="5" t="str">
        <f>"9051918"</f>
        <v>9051918</v>
      </c>
      <c r="F1290" s="3" t="s">
        <v>4123</v>
      </c>
      <c r="G1290" s="5">
        <v>2105050760</v>
      </c>
      <c r="H1290" s="4" t="s">
        <v>4124</v>
      </c>
      <c r="I1290" s="4" t="s">
        <v>3891</v>
      </c>
      <c r="J1290" s="4" t="s">
        <v>4014</v>
      </c>
      <c r="K1290" s="4" t="s">
        <v>4125</v>
      </c>
      <c r="L1290" s="5">
        <v>13231</v>
      </c>
    </row>
    <row r="1291" spans="1:12" x14ac:dyDescent="0.25">
      <c r="A1291" s="3" t="s">
        <v>1057</v>
      </c>
      <c r="B1291" s="4" t="s">
        <v>3883</v>
      </c>
      <c r="C1291" s="4" t="s">
        <v>14</v>
      </c>
      <c r="D1291" s="4" t="s">
        <v>15</v>
      </c>
      <c r="E1291" s="5" t="str">
        <f>"9050428"</f>
        <v>9050428</v>
      </c>
      <c r="F1291" s="3" t="s">
        <v>4126</v>
      </c>
      <c r="G1291" s="5">
        <v>2105714068</v>
      </c>
      <c r="H1291" s="4" t="s">
        <v>4127</v>
      </c>
      <c r="I1291" s="4" t="s">
        <v>3958</v>
      </c>
      <c r="J1291" s="4" t="s">
        <v>3981</v>
      </c>
      <c r="K1291" s="4" t="s">
        <v>4128</v>
      </c>
      <c r="L1291" s="5">
        <v>13121</v>
      </c>
    </row>
    <row r="1292" spans="1:12" x14ac:dyDescent="0.25">
      <c r="A1292" s="3" t="s">
        <v>1057</v>
      </c>
      <c r="B1292" s="4" t="s">
        <v>3883</v>
      </c>
      <c r="C1292" s="4" t="s">
        <v>14</v>
      </c>
      <c r="D1292" s="4" t="s">
        <v>15</v>
      </c>
      <c r="E1292" s="5" t="str">
        <f>"9050412"</f>
        <v>9050412</v>
      </c>
      <c r="F1292" s="3" t="s">
        <v>4129</v>
      </c>
      <c r="G1292" s="5">
        <v>2105711414</v>
      </c>
      <c r="H1292" s="4" t="s">
        <v>4130</v>
      </c>
      <c r="I1292" s="4" t="s">
        <v>3886</v>
      </c>
      <c r="J1292" s="4" t="s">
        <v>3887</v>
      </c>
      <c r="K1292" s="4" t="s">
        <v>4131</v>
      </c>
      <c r="L1292" s="5">
        <v>12136</v>
      </c>
    </row>
    <row r="1293" spans="1:12" x14ac:dyDescent="0.25">
      <c r="A1293" s="3" t="s">
        <v>1057</v>
      </c>
      <c r="B1293" s="4" t="s">
        <v>3883</v>
      </c>
      <c r="C1293" s="4" t="s">
        <v>14</v>
      </c>
      <c r="D1293" s="4" t="s">
        <v>15</v>
      </c>
      <c r="E1293" s="5" t="str">
        <f>"9050396"</f>
        <v>9050396</v>
      </c>
      <c r="F1293" s="3" t="s">
        <v>4132</v>
      </c>
      <c r="G1293" s="5">
        <v>2105735220</v>
      </c>
      <c r="H1293" s="4" t="s">
        <v>4133</v>
      </c>
      <c r="I1293" s="4" t="s">
        <v>3886</v>
      </c>
      <c r="J1293" s="4" t="s">
        <v>3887</v>
      </c>
      <c r="K1293" s="4" t="s">
        <v>4134</v>
      </c>
      <c r="L1293" s="5">
        <v>12131</v>
      </c>
    </row>
    <row r="1294" spans="1:12" x14ac:dyDescent="0.25">
      <c r="A1294" s="3" t="s">
        <v>1057</v>
      </c>
      <c r="B1294" s="4" t="s">
        <v>3883</v>
      </c>
      <c r="C1294" s="4" t="s">
        <v>25</v>
      </c>
      <c r="D1294" s="4" t="s">
        <v>26</v>
      </c>
      <c r="E1294" s="5" t="str">
        <f>"9051049"</f>
        <v>9051049</v>
      </c>
      <c r="F1294" s="3" t="s">
        <v>4135</v>
      </c>
      <c r="G1294" s="5">
        <v>2105314090</v>
      </c>
      <c r="H1294" s="4" t="s">
        <v>4136</v>
      </c>
      <c r="I1294" s="4" t="s">
        <v>3951</v>
      </c>
      <c r="J1294" s="4" t="s">
        <v>3951</v>
      </c>
      <c r="K1294" s="4" t="s">
        <v>4137</v>
      </c>
      <c r="L1294" s="5">
        <v>12243</v>
      </c>
    </row>
    <row r="1295" spans="1:12" x14ac:dyDescent="0.25">
      <c r="A1295" s="3" t="s">
        <v>1057</v>
      </c>
      <c r="B1295" s="4" t="s">
        <v>3883</v>
      </c>
      <c r="C1295" s="4" t="s">
        <v>25</v>
      </c>
      <c r="D1295" s="4" t="s">
        <v>26</v>
      </c>
      <c r="E1295" s="5" t="str">
        <f>"9051059"</f>
        <v>9051059</v>
      </c>
      <c r="F1295" s="3" t="s">
        <v>4138</v>
      </c>
      <c r="G1295" s="5">
        <v>2102629902</v>
      </c>
      <c r="H1295" s="4" t="s">
        <v>4139</v>
      </c>
      <c r="I1295" s="4" t="s">
        <v>3914</v>
      </c>
      <c r="J1295" s="4" t="s">
        <v>3915</v>
      </c>
      <c r="K1295" s="4" t="s">
        <v>4140</v>
      </c>
      <c r="L1295" s="5">
        <v>13562</v>
      </c>
    </row>
    <row r="1296" spans="1:12" x14ac:dyDescent="0.25">
      <c r="A1296" s="3" t="s">
        <v>1057</v>
      </c>
      <c r="B1296" s="4" t="s">
        <v>3883</v>
      </c>
      <c r="C1296" s="4" t="s">
        <v>25</v>
      </c>
      <c r="D1296" s="4" t="s">
        <v>26</v>
      </c>
      <c r="E1296" s="5" t="str">
        <f>"9050358"</f>
        <v>9050358</v>
      </c>
      <c r="F1296" s="3" t="s">
        <v>4141</v>
      </c>
      <c r="G1296" s="5">
        <v>2105986558</v>
      </c>
      <c r="H1296" s="4" t="s">
        <v>4142</v>
      </c>
      <c r="I1296" s="4" t="s">
        <v>3951</v>
      </c>
      <c r="J1296" s="4" t="s">
        <v>3951</v>
      </c>
      <c r="K1296" s="4" t="s">
        <v>4143</v>
      </c>
      <c r="L1296" s="5">
        <v>12243</v>
      </c>
    </row>
    <row r="1297" spans="1:12" x14ac:dyDescent="0.25">
      <c r="A1297" s="3" t="s">
        <v>1057</v>
      </c>
      <c r="B1297" s="4" t="s">
        <v>3883</v>
      </c>
      <c r="C1297" s="4" t="s">
        <v>14</v>
      </c>
      <c r="D1297" s="4" t="s">
        <v>15</v>
      </c>
      <c r="E1297" s="5" t="str">
        <f>"9050340"</f>
        <v>9050340</v>
      </c>
      <c r="F1297" s="3" t="s">
        <v>4144</v>
      </c>
      <c r="G1297" s="5">
        <v>2105614005</v>
      </c>
      <c r="H1297" s="4" t="s">
        <v>4145</v>
      </c>
      <c r="I1297" s="4" t="s">
        <v>3919</v>
      </c>
      <c r="J1297" s="4" t="s">
        <v>3920</v>
      </c>
      <c r="K1297" s="4" t="s">
        <v>4146</v>
      </c>
      <c r="L1297" s="5">
        <v>12351</v>
      </c>
    </row>
    <row r="1298" spans="1:12" x14ac:dyDescent="0.25">
      <c r="A1298" s="3" t="s">
        <v>1057</v>
      </c>
      <c r="B1298" s="4" t="s">
        <v>3883</v>
      </c>
      <c r="C1298" s="4" t="s">
        <v>25</v>
      </c>
      <c r="D1298" s="4" t="s">
        <v>26</v>
      </c>
      <c r="E1298" s="5" t="str">
        <f>"9050368"</f>
        <v>9050368</v>
      </c>
      <c r="F1298" s="3" t="s">
        <v>4147</v>
      </c>
      <c r="G1298" s="5">
        <v>2105816761</v>
      </c>
      <c r="H1298" s="4" t="s">
        <v>4148</v>
      </c>
      <c r="I1298" s="4" t="s">
        <v>3936</v>
      </c>
      <c r="J1298" s="4" t="s">
        <v>4082</v>
      </c>
      <c r="K1298" s="4" t="s">
        <v>4149</v>
      </c>
      <c r="L1298" s="5">
        <v>12461</v>
      </c>
    </row>
    <row r="1299" spans="1:12" x14ac:dyDescent="0.25">
      <c r="A1299" s="3" t="s">
        <v>1057</v>
      </c>
      <c r="B1299" s="4" t="s">
        <v>3883</v>
      </c>
      <c r="C1299" s="4" t="s">
        <v>25</v>
      </c>
      <c r="D1299" s="4" t="s">
        <v>26</v>
      </c>
      <c r="E1299" s="5" t="str">
        <f>"9051224"</f>
        <v>9051224</v>
      </c>
      <c r="F1299" s="3" t="s">
        <v>4150</v>
      </c>
      <c r="G1299" s="5">
        <v>2131301733</v>
      </c>
      <c r="H1299" s="4" t="s">
        <v>4151</v>
      </c>
      <c r="I1299" s="4" t="s">
        <v>3951</v>
      </c>
      <c r="J1299" s="4" t="s">
        <v>3951</v>
      </c>
      <c r="K1299" s="4" t="s">
        <v>4152</v>
      </c>
      <c r="L1299" s="5">
        <v>12242</v>
      </c>
    </row>
    <row r="1300" spans="1:12" x14ac:dyDescent="0.25">
      <c r="A1300" s="3" t="s">
        <v>1057</v>
      </c>
      <c r="B1300" s="4" t="s">
        <v>3883</v>
      </c>
      <c r="C1300" s="4" t="s">
        <v>25</v>
      </c>
      <c r="D1300" s="4" t="s">
        <v>26</v>
      </c>
      <c r="E1300" s="5" t="str">
        <f>"9051060"</f>
        <v>9051060</v>
      </c>
      <c r="F1300" s="3" t="s">
        <v>4153</v>
      </c>
      <c r="G1300" s="5">
        <v>2102319507</v>
      </c>
      <c r="H1300" s="4" t="s">
        <v>4154</v>
      </c>
      <c r="I1300" s="4" t="s">
        <v>3914</v>
      </c>
      <c r="J1300" s="4" t="s">
        <v>3915</v>
      </c>
      <c r="K1300" s="4" t="s">
        <v>4155</v>
      </c>
      <c r="L1300" s="5">
        <v>13562</v>
      </c>
    </row>
    <row r="1301" spans="1:12" x14ac:dyDescent="0.25">
      <c r="A1301" s="3" t="s">
        <v>1057</v>
      </c>
      <c r="B1301" s="4" t="s">
        <v>3883</v>
      </c>
      <c r="C1301" s="4" t="s">
        <v>25</v>
      </c>
      <c r="D1301" s="4" t="s">
        <v>26</v>
      </c>
      <c r="E1301" s="5" t="str">
        <f>"9050760"</f>
        <v>9050760</v>
      </c>
      <c r="F1301" s="3" t="s">
        <v>4156</v>
      </c>
      <c r="G1301" s="5">
        <v>2105616110</v>
      </c>
      <c r="H1301" s="4" t="s">
        <v>4157</v>
      </c>
      <c r="I1301" s="4" t="s">
        <v>3919</v>
      </c>
      <c r="J1301" s="4" t="s">
        <v>3920</v>
      </c>
      <c r="K1301" s="4" t="s">
        <v>4158</v>
      </c>
      <c r="L1301" s="5">
        <v>12351</v>
      </c>
    </row>
    <row r="1302" spans="1:12" x14ac:dyDescent="0.25">
      <c r="A1302" s="3" t="s">
        <v>1057</v>
      </c>
      <c r="B1302" s="4" t="s">
        <v>3883</v>
      </c>
      <c r="C1302" s="4" t="s">
        <v>14</v>
      </c>
      <c r="D1302" s="4" t="s">
        <v>15</v>
      </c>
      <c r="E1302" s="5" t="str">
        <f>"9050349"</f>
        <v>9050349</v>
      </c>
      <c r="F1302" s="3" t="s">
        <v>4159</v>
      </c>
      <c r="G1302" s="5">
        <v>2105987274</v>
      </c>
      <c r="H1302" s="4" t="s">
        <v>4160</v>
      </c>
      <c r="I1302" s="4" t="s">
        <v>3951</v>
      </c>
      <c r="J1302" s="4" t="s">
        <v>3951</v>
      </c>
      <c r="K1302" s="4" t="s">
        <v>4161</v>
      </c>
      <c r="L1302" s="5">
        <v>12243</v>
      </c>
    </row>
    <row r="1303" spans="1:12" x14ac:dyDescent="0.25">
      <c r="A1303" s="3" t="s">
        <v>1057</v>
      </c>
      <c r="B1303" s="4" t="s">
        <v>3883</v>
      </c>
      <c r="C1303" s="4" t="s">
        <v>25</v>
      </c>
      <c r="D1303" s="4" t="s">
        <v>26</v>
      </c>
      <c r="E1303" s="5" t="str">
        <f>"9051065"</f>
        <v>9051065</v>
      </c>
      <c r="F1303" s="3" t="s">
        <v>4162</v>
      </c>
      <c r="G1303" s="5">
        <v>2102629880</v>
      </c>
      <c r="H1303" s="4" t="s">
        <v>4163</v>
      </c>
      <c r="I1303" s="4" t="s">
        <v>3958</v>
      </c>
      <c r="J1303" s="4" t="s">
        <v>3959</v>
      </c>
      <c r="K1303" s="4" t="s">
        <v>4164</v>
      </c>
      <c r="L1303" s="5">
        <v>13123</v>
      </c>
    </row>
    <row r="1304" spans="1:12" x14ac:dyDescent="0.25">
      <c r="A1304" s="3" t="s">
        <v>1057</v>
      </c>
      <c r="B1304" s="4" t="s">
        <v>3883</v>
      </c>
      <c r="C1304" s="4" t="s">
        <v>25</v>
      </c>
      <c r="D1304" s="4" t="s">
        <v>26</v>
      </c>
      <c r="E1304" s="5" t="str">
        <f>"9051047"</f>
        <v>9051047</v>
      </c>
      <c r="F1304" s="3" t="s">
        <v>4165</v>
      </c>
      <c r="G1304" s="5">
        <v>2105444470</v>
      </c>
      <c r="H1304" s="4" t="s">
        <v>4166</v>
      </c>
      <c r="I1304" s="4" t="s">
        <v>3951</v>
      </c>
      <c r="J1304" s="4" t="s">
        <v>3951</v>
      </c>
      <c r="K1304" s="4" t="s">
        <v>4167</v>
      </c>
      <c r="L1304" s="5">
        <v>12244</v>
      </c>
    </row>
    <row r="1305" spans="1:12" x14ac:dyDescent="0.25">
      <c r="A1305" s="3" t="s">
        <v>1057</v>
      </c>
      <c r="B1305" s="4" t="s">
        <v>3883</v>
      </c>
      <c r="C1305" s="4" t="s">
        <v>25</v>
      </c>
      <c r="D1305" s="4" t="s">
        <v>26</v>
      </c>
      <c r="E1305" s="5" t="str">
        <f>"9051004"</f>
        <v>9051004</v>
      </c>
      <c r="F1305" s="3" t="s">
        <v>4168</v>
      </c>
      <c r="G1305" s="5">
        <v>2105444422</v>
      </c>
      <c r="H1305" s="4" t="s">
        <v>4169</v>
      </c>
      <c r="I1305" s="4" t="s">
        <v>3919</v>
      </c>
      <c r="J1305" s="4" t="s">
        <v>3920</v>
      </c>
      <c r="K1305" s="4" t="s">
        <v>4170</v>
      </c>
      <c r="L1305" s="5">
        <v>12351</v>
      </c>
    </row>
    <row r="1306" spans="1:12" x14ac:dyDescent="0.25">
      <c r="A1306" s="3" t="s">
        <v>1057</v>
      </c>
      <c r="B1306" s="4" t="s">
        <v>3883</v>
      </c>
      <c r="C1306" s="4" t="s">
        <v>25</v>
      </c>
      <c r="D1306" s="4" t="s">
        <v>26</v>
      </c>
      <c r="E1306" s="5" t="str">
        <f>"9051238"</f>
        <v>9051238</v>
      </c>
      <c r="F1306" s="3" t="s">
        <v>4171</v>
      </c>
      <c r="G1306" s="5">
        <v>2102638698</v>
      </c>
      <c r="H1306" s="4" t="s">
        <v>4172</v>
      </c>
      <c r="I1306" s="4" t="s">
        <v>3958</v>
      </c>
      <c r="J1306" s="4" t="s">
        <v>3959</v>
      </c>
      <c r="K1306" s="4" t="s">
        <v>4173</v>
      </c>
      <c r="L1306" s="5">
        <v>13122</v>
      </c>
    </row>
    <row r="1307" spans="1:12" x14ac:dyDescent="0.25">
      <c r="A1307" s="3" t="s">
        <v>1057</v>
      </c>
      <c r="B1307" s="4" t="s">
        <v>3883</v>
      </c>
      <c r="C1307" s="4" t="s">
        <v>25</v>
      </c>
      <c r="D1307" s="4" t="s">
        <v>26</v>
      </c>
      <c r="E1307" s="5" t="str">
        <f>"9051409"</f>
        <v>9051409</v>
      </c>
      <c r="F1307" s="3" t="s">
        <v>4174</v>
      </c>
      <c r="G1307" s="5">
        <v>2102621437</v>
      </c>
      <c r="H1307" s="4" t="s">
        <v>4175</v>
      </c>
      <c r="I1307" s="4" t="s">
        <v>3958</v>
      </c>
      <c r="J1307" s="4" t="s">
        <v>3959</v>
      </c>
      <c r="K1307" s="4" t="s">
        <v>4176</v>
      </c>
      <c r="L1307" s="5">
        <v>13123</v>
      </c>
    </row>
    <row r="1308" spans="1:12" x14ac:dyDescent="0.25">
      <c r="A1308" s="3" t="s">
        <v>1057</v>
      </c>
      <c r="B1308" s="4" t="s">
        <v>3883</v>
      </c>
      <c r="C1308" s="4" t="s">
        <v>25</v>
      </c>
      <c r="D1308" s="4" t="s">
        <v>26</v>
      </c>
      <c r="E1308" s="5" t="str">
        <f>"9051069"</f>
        <v>9051069</v>
      </c>
      <c r="F1308" s="3" t="s">
        <v>4177</v>
      </c>
      <c r="G1308" s="5">
        <v>2105320244</v>
      </c>
      <c r="H1308" s="4" t="s">
        <v>4178</v>
      </c>
      <c r="I1308" s="4" t="s">
        <v>3936</v>
      </c>
      <c r="J1308" s="4" t="s">
        <v>4082</v>
      </c>
      <c r="K1308" s="4" t="s">
        <v>4179</v>
      </c>
      <c r="L1308" s="5">
        <v>12461</v>
      </c>
    </row>
    <row r="1309" spans="1:12" x14ac:dyDescent="0.25">
      <c r="A1309" s="3" t="s">
        <v>1057</v>
      </c>
      <c r="B1309" s="4" t="s">
        <v>3883</v>
      </c>
      <c r="C1309" s="4" t="s">
        <v>14</v>
      </c>
      <c r="D1309" s="4" t="s">
        <v>15</v>
      </c>
      <c r="E1309" s="5" t="str">
        <f>"9050241"</f>
        <v>9050241</v>
      </c>
      <c r="F1309" s="3" t="s">
        <v>4180</v>
      </c>
      <c r="G1309" s="5">
        <v>2102310287</v>
      </c>
      <c r="H1309" s="4" t="s">
        <v>4181</v>
      </c>
      <c r="I1309" s="4" t="s">
        <v>3914</v>
      </c>
      <c r="J1309" s="4" t="s">
        <v>4182</v>
      </c>
      <c r="K1309" s="4" t="s">
        <v>4183</v>
      </c>
      <c r="L1309" s="5">
        <v>13451</v>
      </c>
    </row>
    <row r="1310" spans="1:12" x14ac:dyDescent="0.25">
      <c r="A1310" s="3" t="s">
        <v>1057</v>
      </c>
      <c r="B1310" s="4" t="s">
        <v>3883</v>
      </c>
      <c r="C1310" s="4" t="s">
        <v>25</v>
      </c>
      <c r="D1310" s="4" t="s">
        <v>26</v>
      </c>
      <c r="E1310" s="5" t="str">
        <f>"9051514"</f>
        <v>9051514</v>
      </c>
      <c r="F1310" s="3" t="s">
        <v>4184</v>
      </c>
      <c r="G1310" s="5">
        <v>2102632316</v>
      </c>
      <c r="H1310" s="4" t="s">
        <v>4185</v>
      </c>
      <c r="I1310" s="4" t="s">
        <v>3914</v>
      </c>
      <c r="J1310" s="4" t="s">
        <v>3915</v>
      </c>
      <c r="K1310" s="4" t="s">
        <v>4186</v>
      </c>
      <c r="L1310" s="5">
        <v>13562</v>
      </c>
    </row>
    <row r="1311" spans="1:12" x14ac:dyDescent="0.25">
      <c r="A1311" s="3" t="s">
        <v>1057</v>
      </c>
      <c r="B1311" s="4" t="s">
        <v>3883</v>
      </c>
      <c r="C1311" s="4" t="s">
        <v>25</v>
      </c>
      <c r="D1311" s="4" t="s">
        <v>26</v>
      </c>
      <c r="E1311" s="5" t="str">
        <f>"9051410"</f>
        <v>9051410</v>
      </c>
      <c r="F1311" s="3" t="s">
        <v>4187</v>
      </c>
      <c r="G1311" s="5">
        <v>2102619811</v>
      </c>
      <c r="H1311" s="4" t="s">
        <v>4188</v>
      </c>
      <c r="I1311" s="4" t="s">
        <v>3958</v>
      </c>
      <c r="J1311" s="4" t="s">
        <v>3959</v>
      </c>
      <c r="K1311" s="4" t="s">
        <v>4189</v>
      </c>
      <c r="L1311" s="5">
        <v>13123</v>
      </c>
    </row>
    <row r="1312" spans="1:12" x14ac:dyDescent="0.25">
      <c r="A1312" s="3" t="s">
        <v>1057</v>
      </c>
      <c r="B1312" s="4" t="s">
        <v>3883</v>
      </c>
      <c r="C1312" s="4" t="s">
        <v>14</v>
      </c>
      <c r="D1312" s="4" t="s">
        <v>15</v>
      </c>
      <c r="E1312" s="5" t="str">
        <f>"9050365"</f>
        <v>9050365</v>
      </c>
      <c r="F1312" s="3" t="s">
        <v>4190</v>
      </c>
      <c r="G1312" s="5">
        <v>2105982854</v>
      </c>
      <c r="H1312" s="4" t="s">
        <v>4191</v>
      </c>
      <c r="I1312" s="4" t="s">
        <v>3951</v>
      </c>
      <c r="J1312" s="4" t="s">
        <v>3951</v>
      </c>
      <c r="K1312" s="4" t="s">
        <v>4192</v>
      </c>
      <c r="L1312" s="5">
        <v>12243</v>
      </c>
    </row>
    <row r="1313" spans="1:12" x14ac:dyDescent="0.25">
      <c r="A1313" s="3" t="s">
        <v>1057</v>
      </c>
      <c r="B1313" s="4" t="s">
        <v>3883</v>
      </c>
      <c r="C1313" s="4" t="s">
        <v>25</v>
      </c>
      <c r="D1313" s="4" t="s">
        <v>26</v>
      </c>
      <c r="E1313" s="5" t="str">
        <f>"9050989"</f>
        <v>9050989</v>
      </c>
      <c r="F1313" s="3" t="s">
        <v>4193</v>
      </c>
      <c r="G1313" s="5">
        <v>2105323530</v>
      </c>
      <c r="H1313" s="4" t="s">
        <v>4194</v>
      </c>
      <c r="I1313" s="4" t="s">
        <v>3936</v>
      </c>
      <c r="J1313" s="4" t="s">
        <v>4082</v>
      </c>
      <c r="K1313" s="4" t="s">
        <v>4195</v>
      </c>
      <c r="L1313" s="5">
        <v>12431</v>
      </c>
    </row>
    <row r="1314" spans="1:12" x14ac:dyDescent="0.25">
      <c r="A1314" s="3" t="s">
        <v>1057</v>
      </c>
      <c r="B1314" s="4" t="s">
        <v>3883</v>
      </c>
      <c r="C1314" s="4" t="s">
        <v>14</v>
      </c>
      <c r="D1314" s="4" t="s">
        <v>15</v>
      </c>
      <c r="E1314" s="5" t="str">
        <f>"9050371"</f>
        <v>9050371</v>
      </c>
      <c r="F1314" s="3" t="s">
        <v>4196</v>
      </c>
      <c r="G1314" s="5">
        <v>2105813742</v>
      </c>
      <c r="H1314" s="4" t="s">
        <v>4197</v>
      </c>
      <c r="I1314" s="4" t="s">
        <v>3936</v>
      </c>
      <c r="J1314" s="4" t="s">
        <v>3947</v>
      </c>
      <c r="K1314" s="4" t="s">
        <v>4198</v>
      </c>
      <c r="L1314" s="5">
        <v>12461</v>
      </c>
    </row>
    <row r="1315" spans="1:12" ht="30" x14ac:dyDescent="0.25">
      <c r="A1315" s="3" t="s">
        <v>1057</v>
      </c>
      <c r="B1315" s="4" t="s">
        <v>3883</v>
      </c>
      <c r="C1315" s="4" t="s">
        <v>14</v>
      </c>
      <c r="D1315" s="4" t="s">
        <v>15</v>
      </c>
      <c r="E1315" s="5" t="str">
        <f>"9050344"</f>
        <v>9050344</v>
      </c>
      <c r="F1315" s="3" t="s">
        <v>4199</v>
      </c>
      <c r="G1315" s="5">
        <v>2105981797</v>
      </c>
      <c r="H1315" s="4" t="s">
        <v>4200</v>
      </c>
      <c r="I1315" s="4" t="s">
        <v>3951</v>
      </c>
      <c r="J1315" s="4" t="s">
        <v>3951</v>
      </c>
      <c r="K1315" s="4" t="s">
        <v>4201</v>
      </c>
      <c r="L1315" s="5">
        <v>12242</v>
      </c>
    </row>
    <row r="1316" spans="1:12" x14ac:dyDescent="0.25">
      <c r="A1316" s="3" t="s">
        <v>1057</v>
      </c>
      <c r="B1316" s="4" t="s">
        <v>3883</v>
      </c>
      <c r="C1316" s="4" t="s">
        <v>25</v>
      </c>
      <c r="D1316" s="4" t="s">
        <v>26</v>
      </c>
      <c r="E1316" s="5" t="str">
        <f>"9050761"</f>
        <v>9050761</v>
      </c>
      <c r="F1316" s="3" t="s">
        <v>4202</v>
      </c>
      <c r="G1316" s="5">
        <v>2105317497</v>
      </c>
      <c r="H1316" s="4" t="s">
        <v>4203</v>
      </c>
      <c r="I1316" s="4" t="s">
        <v>3951</v>
      </c>
      <c r="J1316" s="4" t="s">
        <v>3951</v>
      </c>
      <c r="K1316" s="4" t="s">
        <v>4204</v>
      </c>
      <c r="L1316" s="5">
        <v>12242</v>
      </c>
    </row>
    <row r="1317" spans="1:12" x14ac:dyDescent="0.25">
      <c r="A1317" s="3" t="s">
        <v>1057</v>
      </c>
      <c r="B1317" s="4" t="s">
        <v>3883</v>
      </c>
      <c r="C1317" s="4" t="s">
        <v>14</v>
      </c>
      <c r="D1317" s="4" t="s">
        <v>15</v>
      </c>
      <c r="E1317" s="5" t="str">
        <f>"9050960"</f>
        <v>9050960</v>
      </c>
      <c r="F1317" s="3" t="s">
        <v>4205</v>
      </c>
      <c r="G1317" s="5">
        <v>2105612011</v>
      </c>
      <c r="H1317" s="4" t="s">
        <v>4206</v>
      </c>
      <c r="I1317" s="4" t="s">
        <v>3951</v>
      </c>
      <c r="J1317" s="4" t="s">
        <v>3951</v>
      </c>
      <c r="K1317" s="4" t="s">
        <v>4207</v>
      </c>
      <c r="L1317" s="5">
        <v>12241</v>
      </c>
    </row>
    <row r="1318" spans="1:12" x14ac:dyDescent="0.25">
      <c r="A1318" s="3" t="s">
        <v>1057</v>
      </c>
      <c r="B1318" s="4" t="s">
        <v>3883</v>
      </c>
      <c r="C1318" s="4" t="s">
        <v>14</v>
      </c>
      <c r="D1318" s="4" t="s">
        <v>15</v>
      </c>
      <c r="E1318" s="5" t="str">
        <f>"9050372"</f>
        <v>9050372</v>
      </c>
      <c r="F1318" s="3" t="s">
        <v>4208</v>
      </c>
      <c r="G1318" s="5">
        <v>2105810487</v>
      </c>
      <c r="H1318" s="4" t="s">
        <v>4209</v>
      </c>
      <c r="I1318" s="4" t="s">
        <v>3936</v>
      </c>
      <c r="J1318" s="4" t="s">
        <v>3947</v>
      </c>
      <c r="K1318" s="4" t="s">
        <v>4210</v>
      </c>
      <c r="L1318" s="5">
        <v>12461</v>
      </c>
    </row>
    <row r="1319" spans="1:12" x14ac:dyDescent="0.25">
      <c r="A1319" s="3" t="s">
        <v>1057</v>
      </c>
      <c r="B1319" s="4" t="s">
        <v>3883</v>
      </c>
      <c r="C1319" s="4" t="s">
        <v>25</v>
      </c>
      <c r="D1319" s="4" t="s">
        <v>26</v>
      </c>
      <c r="E1319" s="5" t="str">
        <f>"9051432"</f>
        <v>9051432</v>
      </c>
      <c r="F1319" s="3" t="s">
        <v>4211</v>
      </c>
      <c r="G1319" s="5">
        <v>2105323718</v>
      </c>
      <c r="H1319" s="4" t="s">
        <v>4212</v>
      </c>
      <c r="I1319" s="4" t="s">
        <v>3936</v>
      </c>
      <c r="J1319" s="4" t="s">
        <v>3947</v>
      </c>
      <c r="K1319" s="4" t="s">
        <v>4213</v>
      </c>
      <c r="L1319" s="5">
        <v>12462</v>
      </c>
    </row>
    <row r="1320" spans="1:12" x14ac:dyDescent="0.25">
      <c r="A1320" s="3" t="s">
        <v>1057</v>
      </c>
      <c r="B1320" s="4" t="s">
        <v>3883</v>
      </c>
      <c r="C1320" s="4" t="s">
        <v>25</v>
      </c>
      <c r="D1320" s="4" t="s">
        <v>26</v>
      </c>
      <c r="E1320" s="5" t="str">
        <f>"9051241"</f>
        <v>9051241</v>
      </c>
      <c r="F1320" s="3" t="s">
        <v>4214</v>
      </c>
      <c r="G1320" s="5">
        <v>2105820711</v>
      </c>
      <c r="H1320" s="4" t="s">
        <v>4215</v>
      </c>
      <c r="I1320" s="4" t="s">
        <v>3936</v>
      </c>
      <c r="J1320" s="4" t="s">
        <v>4082</v>
      </c>
      <c r="K1320" s="4" t="s">
        <v>4216</v>
      </c>
      <c r="L1320" s="5">
        <v>12462</v>
      </c>
    </row>
    <row r="1321" spans="1:12" x14ac:dyDescent="0.25">
      <c r="A1321" s="3" t="s">
        <v>1057</v>
      </c>
      <c r="B1321" s="4" t="s">
        <v>3883</v>
      </c>
      <c r="C1321" s="4" t="s">
        <v>14</v>
      </c>
      <c r="D1321" s="4" t="s">
        <v>15</v>
      </c>
      <c r="E1321" s="5" t="str">
        <f>"9050360"</f>
        <v>9050360</v>
      </c>
      <c r="F1321" s="3" t="s">
        <v>4217</v>
      </c>
      <c r="G1321" s="5">
        <v>2105982493</v>
      </c>
      <c r="H1321" s="4" t="s">
        <v>4218</v>
      </c>
      <c r="I1321" s="4" t="s">
        <v>3951</v>
      </c>
      <c r="J1321" s="4" t="s">
        <v>3951</v>
      </c>
      <c r="K1321" s="4" t="s">
        <v>4219</v>
      </c>
      <c r="L1321" s="5">
        <v>12242</v>
      </c>
    </row>
    <row r="1322" spans="1:12" x14ac:dyDescent="0.25">
      <c r="A1322" s="3" t="s">
        <v>1057</v>
      </c>
      <c r="B1322" s="4" t="s">
        <v>3883</v>
      </c>
      <c r="C1322" s="4" t="s">
        <v>25</v>
      </c>
      <c r="D1322" s="4" t="s">
        <v>26</v>
      </c>
      <c r="E1322" s="5" t="str">
        <f>"9051518"</f>
        <v>9051518</v>
      </c>
      <c r="F1322" s="3" t="s">
        <v>4220</v>
      </c>
      <c r="G1322" s="5">
        <v>2102639314</v>
      </c>
      <c r="H1322" s="4" t="s">
        <v>4221</v>
      </c>
      <c r="I1322" s="4" t="s">
        <v>3958</v>
      </c>
      <c r="J1322" s="4" t="s">
        <v>3959</v>
      </c>
      <c r="K1322" s="4" t="s">
        <v>4222</v>
      </c>
      <c r="L1322" s="5">
        <v>13121</v>
      </c>
    </row>
    <row r="1323" spans="1:12" x14ac:dyDescent="0.25">
      <c r="A1323" s="3" t="s">
        <v>1057</v>
      </c>
      <c r="B1323" s="4" t="s">
        <v>3883</v>
      </c>
      <c r="C1323" s="4" t="s">
        <v>25</v>
      </c>
      <c r="D1323" s="4" t="s">
        <v>26</v>
      </c>
      <c r="E1323" s="5" t="str">
        <f>"9051592"</f>
        <v>9051592</v>
      </c>
      <c r="F1323" s="3" t="s">
        <v>4223</v>
      </c>
      <c r="G1323" s="5">
        <v>2102616900</v>
      </c>
      <c r="H1323" s="4" t="s">
        <v>4224</v>
      </c>
      <c r="I1323" s="4" t="s">
        <v>3958</v>
      </c>
      <c r="J1323" s="4" t="s">
        <v>3959</v>
      </c>
      <c r="K1323" s="4" t="s">
        <v>4225</v>
      </c>
      <c r="L1323" s="5">
        <v>13122</v>
      </c>
    </row>
    <row r="1324" spans="1:12" x14ac:dyDescent="0.25">
      <c r="A1324" s="3" t="s">
        <v>1057</v>
      </c>
      <c r="B1324" s="4" t="s">
        <v>3883</v>
      </c>
      <c r="C1324" s="4" t="s">
        <v>25</v>
      </c>
      <c r="D1324" s="4" t="s">
        <v>26</v>
      </c>
      <c r="E1324" s="5" t="str">
        <f>"9051638"</f>
        <v>9051638</v>
      </c>
      <c r="F1324" s="3" t="s">
        <v>4226</v>
      </c>
      <c r="G1324" s="5">
        <v>2105024740</v>
      </c>
      <c r="H1324" s="4" t="s">
        <v>4227</v>
      </c>
      <c r="I1324" s="4" t="s">
        <v>3958</v>
      </c>
      <c r="J1324" s="4" t="s">
        <v>3959</v>
      </c>
      <c r="K1324" s="4" t="s">
        <v>4228</v>
      </c>
      <c r="L1324" s="5">
        <v>13121</v>
      </c>
    </row>
    <row r="1325" spans="1:12" x14ac:dyDescent="0.25">
      <c r="A1325" s="3" t="s">
        <v>1057</v>
      </c>
      <c r="B1325" s="4" t="s">
        <v>3883</v>
      </c>
      <c r="C1325" s="4" t="s">
        <v>25</v>
      </c>
      <c r="D1325" s="4" t="s">
        <v>26</v>
      </c>
      <c r="E1325" s="5" t="str">
        <f>"9051782"</f>
        <v>9051782</v>
      </c>
      <c r="F1325" s="3" t="s">
        <v>4229</v>
      </c>
      <c r="G1325" s="5">
        <v>2105057682</v>
      </c>
      <c r="H1325" s="4" t="s">
        <v>4230</v>
      </c>
      <c r="I1325" s="4" t="s">
        <v>3958</v>
      </c>
      <c r="J1325" s="4" t="s">
        <v>3959</v>
      </c>
      <c r="K1325" s="4" t="s">
        <v>4231</v>
      </c>
      <c r="L1325" s="5">
        <v>13123</v>
      </c>
    </row>
    <row r="1326" spans="1:12" x14ac:dyDescent="0.25">
      <c r="A1326" s="3" t="s">
        <v>1057</v>
      </c>
      <c r="B1326" s="4" t="s">
        <v>3883</v>
      </c>
      <c r="C1326" s="4" t="s">
        <v>25</v>
      </c>
      <c r="D1326" s="4" t="s">
        <v>26</v>
      </c>
      <c r="E1326" s="5" t="str">
        <f>"9051807"</f>
        <v>9051807</v>
      </c>
      <c r="F1326" s="3" t="s">
        <v>4232</v>
      </c>
      <c r="G1326" s="5">
        <v>2105735501</v>
      </c>
      <c r="H1326" s="4" t="s">
        <v>4233</v>
      </c>
      <c r="I1326" s="4" t="s">
        <v>3958</v>
      </c>
      <c r="J1326" s="4" t="s">
        <v>3959</v>
      </c>
      <c r="K1326" s="4" t="s">
        <v>4234</v>
      </c>
      <c r="L1326" s="5">
        <v>13121</v>
      </c>
    </row>
    <row r="1327" spans="1:12" x14ac:dyDescent="0.25">
      <c r="A1327" s="3" t="s">
        <v>1057</v>
      </c>
      <c r="B1327" s="4" t="s">
        <v>3883</v>
      </c>
      <c r="C1327" s="4" t="s">
        <v>14</v>
      </c>
      <c r="D1327" s="4" t="s">
        <v>15</v>
      </c>
      <c r="E1327" s="5" t="str">
        <f>"9050375"</f>
        <v>9050375</v>
      </c>
      <c r="F1327" s="3" t="s">
        <v>4235</v>
      </c>
      <c r="G1327" s="5">
        <v>2105819642</v>
      </c>
      <c r="H1327" s="4" t="s">
        <v>4236</v>
      </c>
      <c r="I1327" s="4" t="s">
        <v>3936</v>
      </c>
      <c r="J1327" s="4" t="s">
        <v>3947</v>
      </c>
      <c r="K1327" s="4" t="s">
        <v>4237</v>
      </c>
      <c r="L1327" s="5">
        <v>12461</v>
      </c>
    </row>
    <row r="1328" spans="1:12" x14ac:dyDescent="0.25">
      <c r="A1328" s="3" t="s">
        <v>1057</v>
      </c>
      <c r="B1328" s="4" t="s">
        <v>3883</v>
      </c>
      <c r="C1328" s="4" t="s">
        <v>14</v>
      </c>
      <c r="D1328" s="4" t="s">
        <v>15</v>
      </c>
      <c r="E1328" s="5" t="str">
        <f>"9050439"</f>
        <v>9050439</v>
      </c>
      <c r="F1328" s="3" t="s">
        <v>4238</v>
      </c>
      <c r="G1328" s="5">
        <v>2105016763</v>
      </c>
      <c r="H1328" s="4" t="s">
        <v>4239</v>
      </c>
      <c r="I1328" s="4" t="s">
        <v>3891</v>
      </c>
      <c r="J1328" s="4" t="s">
        <v>3892</v>
      </c>
      <c r="K1328" s="4" t="s">
        <v>4240</v>
      </c>
      <c r="L1328" s="5">
        <v>13231</v>
      </c>
    </row>
    <row r="1329" spans="1:12" x14ac:dyDescent="0.25">
      <c r="A1329" s="3" t="s">
        <v>1057</v>
      </c>
      <c r="B1329" s="4" t="s">
        <v>3883</v>
      </c>
      <c r="C1329" s="4" t="s">
        <v>14</v>
      </c>
      <c r="D1329" s="4" t="s">
        <v>15</v>
      </c>
      <c r="E1329" s="5" t="str">
        <f>"9050426"</f>
        <v>9050426</v>
      </c>
      <c r="F1329" s="3" t="s">
        <v>4241</v>
      </c>
      <c r="G1329" s="5">
        <v>2105018647</v>
      </c>
      <c r="H1329" s="4" t="s">
        <v>4242</v>
      </c>
      <c r="I1329" s="4" t="s">
        <v>3958</v>
      </c>
      <c r="J1329" s="4" t="s">
        <v>3981</v>
      </c>
      <c r="K1329" s="4" t="s">
        <v>3975</v>
      </c>
      <c r="L1329" s="5">
        <v>13121</v>
      </c>
    </row>
    <row r="1330" spans="1:12" x14ac:dyDescent="0.25">
      <c r="A1330" s="3" t="s">
        <v>1057</v>
      </c>
      <c r="B1330" s="4" t="s">
        <v>3883</v>
      </c>
      <c r="C1330" s="4" t="s">
        <v>14</v>
      </c>
      <c r="D1330" s="4" t="s">
        <v>15</v>
      </c>
      <c r="E1330" s="5" t="str">
        <f>"9050357"</f>
        <v>9050357</v>
      </c>
      <c r="F1330" s="3" t="s">
        <v>4243</v>
      </c>
      <c r="G1330" s="5">
        <v>2105445174</v>
      </c>
      <c r="H1330" s="4" t="s">
        <v>4244</v>
      </c>
      <c r="I1330" s="4" t="s">
        <v>3951</v>
      </c>
      <c r="J1330" s="4" t="s">
        <v>3951</v>
      </c>
      <c r="K1330" s="4" t="s">
        <v>4245</v>
      </c>
      <c r="L1330" s="5">
        <v>12244</v>
      </c>
    </row>
    <row r="1331" spans="1:12" x14ac:dyDescent="0.25">
      <c r="A1331" s="3" t="s">
        <v>1057</v>
      </c>
      <c r="B1331" s="4" t="s">
        <v>3883</v>
      </c>
      <c r="C1331" s="4" t="s">
        <v>14</v>
      </c>
      <c r="D1331" s="4" t="s">
        <v>15</v>
      </c>
      <c r="E1331" s="5" t="str">
        <f>"9050353"</f>
        <v>9050353</v>
      </c>
      <c r="F1331" s="3" t="s">
        <v>4246</v>
      </c>
      <c r="G1331" s="5">
        <v>2105900591</v>
      </c>
      <c r="H1331" s="4" t="s">
        <v>4247</v>
      </c>
      <c r="I1331" s="4" t="s">
        <v>3951</v>
      </c>
      <c r="J1331" s="4" t="s">
        <v>3951</v>
      </c>
      <c r="K1331" s="4" t="s">
        <v>4248</v>
      </c>
      <c r="L1331" s="5">
        <v>12243</v>
      </c>
    </row>
    <row r="1332" spans="1:12" x14ac:dyDescent="0.25">
      <c r="A1332" s="3" t="s">
        <v>1057</v>
      </c>
      <c r="B1332" s="4" t="s">
        <v>3883</v>
      </c>
      <c r="C1332" s="4" t="s">
        <v>25</v>
      </c>
      <c r="D1332" s="4" t="s">
        <v>26</v>
      </c>
      <c r="E1332" s="5" t="str">
        <f>"9050861"</f>
        <v>9050861</v>
      </c>
      <c r="F1332" s="3" t="s">
        <v>4249</v>
      </c>
      <c r="G1332" s="5">
        <v>2105782412</v>
      </c>
      <c r="H1332" s="4" t="s">
        <v>4250</v>
      </c>
      <c r="I1332" s="4" t="s">
        <v>3886</v>
      </c>
      <c r="J1332" s="4" t="s">
        <v>3887</v>
      </c>
      <c r="K1332" s="4" t="s">
        <v>4251</v>
      </c>
      <c r="L1332" s="5">
        <v>12132</v>
      </c>
    </row>
    <row r="1333" spans="1:12" x14ac:dyDescent="0.25">
      <c r="A1333" s="3" t="s">
        <v>1057</v>
      </c>
      <c r="B1333" s="4" t="s">
        <v>3883</v>
      </c>
      <c r="C1333" s="4" t="s">
        <v>25</v>
      </c>
      <c r="D1333" s="4" t="s">
        <v>26</v>
      </c>
      <c r="E1333" s="5" t="str">
        <f>"9050841"</f>
        <v>9050841</v>
      </c>
      <c r="F1333" s="3" t="s">
        <v>4252</v>
      </c>
      <c r="G1333" s="5">
        <v>2105750635</v>
      </c>
      <c r="H1333" s="4" t="s">
        <v>4253</v>
      </c>
      <c r="I1333" s="4" t="s">
        <v>3886</v>
      </c>
      <c r="J1333" s="4" t="s">
        <v>3887</v>
      </c>
      <c r="K1333" s="4" t="s">
        <v>4254</v>
      </c>
      <c r="L1333" s="5">
        <v>12135</v>
      </c>
    </row>
    <row r="1334" spans="1:12" x14ac:dyDescent="0.25">
      <c r="A1334" s="3" t="s">
        <v>1057</v>
      </c>
      <c r="B1334" s="4" t="s">
        <v>3883</v>
      </c>
      <c r="C1334" s="4" t="s">
        <v>25</v>
      </c>
      <c r="D1334" s="4" t="s">
        <v>26</v>
      </c>
      <c r="E1334" s="5" t="str">
        <f>"9050859"</f>
        <v>9050859</v>
      </c>
      <c r="F1334" s="3" t="s">
        <v>4255</v>
      </c>
      <c r="G1334" s="5">
        <v>2105778340</v>
      </c>
      <c r="H1334" s="4" t="s">
        <v>4256</v>
      </c>
      <c r="I1334" s="4" t="s">
        <v>3886</v>
      </c>
      <c r="J1334" s="4" t="s">
        <v>3887</v>
      </c>
      <c r="K1334" s="4" t="s">
        <v>4257</v>
      </c>
      <c r="L1334" s="5">
        <v>12137</v>
      </c>
    </row>
    <row r="1335" spans="1:12" x14ac:dyDescent="0.25">
      <c r="A1335" s="3" t="s">
        <v>1057</v>
      </c>
      <c r="B1335" s="4" t="s">
        <v>3883</v>
      </c>
      <c r="C1335" s="4" t="s">
        <v>14</v>
      </c>
      <c r="D1335" s="4" t="s">
        <v>15</v>
      </c>
      <c r="E1335" s="5" t="str">
        <f>"9050900"</f>
        <v>9050900</v>
      </c>
      <c r="F1335" s="3" t="s">
        <v>4258</v>
      </c>
      <c r="G1335" s="5">
        <v>2105733844</v>
      </c>
      <c r="H1335" s="4" t="s">
        <v>4259</v>
      </c>
      <c r="I1335" s="4" t="s">
        <v>3886</v>
      </c>
      <c r="J1335" s="4" t="s">
        <v>3887</v>
      </c>
      <c r="K1335" s="4" t="s">
        <v>4086</v>
      </c>
      <c r="L1335" s="5">
        <v>12136</v>
      </c>
    </row>
    <row r="1336" spans="1:12" x14ac:dyDescent="0.25">
      <c r="A1336" s="3" t="s">
        <v>1057</v>
      </c>
      <c r="B1336" s="4" t="s">
        <v>3883</v>
      </c>
      <c r="C1336" s="4" t="s">
        <v>14</v>
      </c>
      <c r="D1336" s="4" t="s">
        <v>15</v>
      </c>
      <c r="E1336" s="5" t="str">
        <f>"9050917"</f>
        <v>9050917</v>
      </c>
      <c r="F1336" s="3" t="s">
        <v>4260</v>
      </c>
      <c r="G1336" s="5">
        <v>2102629276</v>
      </c>
      <c r="H1336" s="4" t="s">
        <v>4261</v>
      </c>
      <c r="I1336" s="4" t="s">
        <v>3958</v>
      </c>
      <c r="J1336" s="4" t="s">
        <v>3981</v>
      </c>
      <c r="K1336" s="4" t="s">
        <v>4262</v>
      </c>
      <c r="L1336" s="5">
        <v>13123</v>
      </c>
    </row>
    <row r="1337" spans="1:12" x14ac:dyDescent="0.25">
      <c r="A1337" s="3" t="s">
        <v>1057</v>
      </c>
      <c r="B1337" s="4" t="s">
        <v>3883</v>
      </c>
      <c r="C1337" s="4" t="s">
        <v>14</v>
      </c>
      <c r="D1337" s="4" t="s">
        <v>15</v>
      </c>
      <c r="E1337" s="5" t="str">
        <f>"9050395"</f>
        <v>9050395</v>
      </c>
      <c r="F1337" s="3" t="s">
        <v>4263</v>
      </c>
      <c r="G1337" s="5">
        <v>2105715659</v>
      </c>
      <c r="H1337" s="4" t="s">
        <v>4264</v>
      </c>
      <c r="I1337" s="4" t="s">
        <v>3886</v>
      </c>
      <c r="J1337" s="4" t="s">
        <v>3887</v>
      </c>
      <c r="K1337" s="4" t="s">
        <v>4265</v>
      </c>
      <c r="L1337" s="5">
        <v>12135</v>
      </c>
    </row>
    <row r="1338" spans="1:12" x14ac:dyDescent="0.25">
      <c r="A1338" s="3" t="s">
        <v>1057</v>
      </c>
      <c r="B1338" s="4" t="s">
        <v>3883</v>
      </c>
      <c r="C1338" s="4" t="s">
        <v>14</v>
      </c>
      <c r="D1338" s="4" t="s">
        <v>15</v>
      </c>
      <c r="E1338" s="5" t="str">
        <f>"9050333"</f>
        <v>9050333</v>
      </c>
      <c r="F1338" s="3" t="s">
        <v>4266</v>
      </c>
      <c r="G1338" s="5">
        <v>2105613623</v>
      </c>
      <c r="H1338" s="4" t="s">
        <v>4267</v>
      </c>
      <c r="I1338" s="4" t="s">
        <v>3919</v>
      </c>
      <c r="J1338" s="4" t="s">
        <v>3920</v>
      </c>
      <c r="K1338" s="4" t="s">
        <v>4268</v>
      </c>
      <c r="L1338" s="5">
        <v>12351</v>
      </c>
    </row>
    <row r="1339" spans="1:12" x14ac:dyDescent="0.25">
      <c r="A1339" s="3" t="s">
        <v>1057</v>
      </c>
      <c r="B1339" s="4" t="s">
        <v>3883</v>
      </c>
      <c r="C1339" s="4" t="s">
        <v>14</v>
      </c>
      <c r="D1339" s="4" t="s">
        <v>15</v>
      </c>
      <c r="E1339" s="5" t="str">
        <f>"9050964"</f>
        <v>9050964</v>
      </c>
      <c r="F1339" s="3" t="s">
        <v>4269</v>
      </c>
      <c r="G1339" s="5">
        <v>2105055771</v>
      </c>
      <c r="H1339" s="4" t="s">
        <v>4270</v>
      </c>
      <c r="I1339" s="4" t="s">
        <v>3914</v>
      </c>
      <c r="J1339" s="4" t="s">
        <v>4182</v>
      </c>
      <c r="K1339" s="4" t="s">
        <v>4271</v>
      </c>
      <c r="L1339" s="5">
        <v>13451</v>
      </c>
    </row>
    <row r="1340" spans="1:12" ht="30" x14ac:dyDescent="0.25">
      <c r="A1340" s="3" t="s">
        <v>1057</v>
      </c>
      <c r="B1340" s="4" t="s">
        <v>3883</v>
      </c>
      <c r="C1340" s="4" t="s">
        <v>14</v>
      </c>
      <c r="D1340" s="4" t="s">
        <v>15</v>
      </c>
      <c r="E1340" s="5" t="str">
        <f>"9050363"</f>
        <v>9050363</v>
      </c>
      <c r="F1340" s="3" t="s">
        <v>4272</v>
      </c>
      <c r="G1340" s="5">
        <v>2105981574</v>
      </c>
      <c r="H1340" s="4" t="s">
        <v>4273</v>
      </c>
      <c r="I1340" s="4" t="s">
        <v>3951</v>
      </c>
      <c r="J1340" s="4" t="s">
        <v>3951</v>
      </c>
      <c r="K1340" s="4" t="s">
        <v>4204</v>
      </c>
      <c r="L1340" s="5">
        <v>12242</v>
      </c>
    </row>
    <row r="1341" spans="1:12" x14ac:dyDescent="0.25">
      <c r="A1341" s="3" t="s">
        <v>1057</v>
      </c>
      <c r="B1341" s="4" t="s">
        <v>3883</v>
      </c>
      <c r="C1341" s="4" t="s">
        <v>25</v>
      </c>
      <c r="D1341" s="4" t="s">
        <v>26</v>
      </c>
      <c r="E1341" s="5" t="str">
        <f>"9051303"</f>
        <v>9051303</v>
      </c>
      <c r="F1341" s="3" t="s">
        <v>4274</v>
      </c>
      <c r="G1341" s="5">
        <v>2105908400</v>
      </c>
      <c r="H1341" s="4" t="s">
        <v>4275</v>
      </c>
      <c r="I1341" s="4" t="s">
        <v>3951</v>
      </c>
      <c r="J1341" s="4" t="s">
        <v>3951</v>
      </c>
      <c r="K1341" s="4" t="s">
        <v>4276</v>
      </c>
      <c r="L1341" s="5">
        <v>12243</v>
      </c>
    </row>
    <row r="1342" spans="1:12" x14ac:dyDescent="0.25">
      <c r="A1342" s="3" t="s">
        <v>1057</v>
      </c>
      <c r="B1342" s="4" t="s">
        <v>3883</v>
      </c>
      <c r="C1342" s="4" t="s">
        <v>14</v>
      </c>
      <c r="D1342" s="4" t="s">
        <v>15</v>
      </c>
      <c r="E1342" s="5" t="str">
        <f>"9050361"</f>
        <v>9050361</v>
      </c>
      <c r="F1342" s="3" t="s">
        <v>4277</v>
      </c>
      <c r="G1342" s="5">
        <v>2105981935</v>
      </c>
      <c r="H1342" s="4" t="s">
        <v>4278</v>
      </c>
      <c r="I1342" s="4" t="s">
        <v>3951</v>
      </c>
      <c r="J1342" s="4" t="s">
        <v>4279</v>
      </c>
      <c r="K1342" s="4" t="s">
        <v>4276</v>
      </c>
      <c r="L1342" s="5">
        <v>12243</v>
      </c>
    </row>
    <row r="1343" spans="1:12" x14ac:dyDescent="0.25">
      <c r="A1343" s="3" t="s">
        <v>1057</v>
      </c>
      <c r="B1343" s="4" t="s">
        <v>3883</v>
      </c>
      <c r="C1343" s="4" t="s">
        <v>14</v>
      </c>
      <c r="D1343" s="4" t="s">
        <v>15</v>
      </c>
      <c r="E1343" s="5" t="str">
        <f>"9050374"</f>
        <v>9050374</v>
      </c>
      <c r="F1343" s="3" t="s">
        <v>4280</v>
      </c>
      <c r="G1343" s="5">
        <v>2105811277</v>
      </c>
      <c r="H1343" s="4" t="s">
        <v>4281</v>
      </c>
      <c r="I1343" s="4" t="s">
        <v>3936</v>
      </c>
      <c r="J1343" s="4" t="s">
        <v>3947</v>
      </c>
      <c r="K1343" s="4" t="s">
        <v>4282</v>
      </c>
      <c r="L1343" s="5">
        <v>12462</v>
      </c>
    </row>
    <row r="1344" spans="1:12" x14ac:dyDescent="0.25">
      <c r="A1344" s="3" t="s">
        <v>1057</v>
      </c>
      <c r="B1344" s="4" t="s">
        <v>3883</v>
      </c>
      <c r="C1344" s="4" t="s">
        <v>25</v>
      </c>
      <c r="D1344" s="4" t="s">
        <v>26</v>
      </c>
      <c r="E1344" s="5" t="str">
        <f>"9050860"</f>
        <v>9050860</v>
      </c>
      <c r="F1344" s="3" t="s">
        <v>4283</v>
      </c>
      <c r="G1344" s="5">
        <v>2105781746</v>
      </c>
      <c r="H1344" s="4" t="s">
        <v>4284</v>
      </c>
      <c r="I1344" s="4" t="s">
        <v>3886</v>
      </c>
      <c r="J1344" s="4" t="s">
        <v>3887</v>
      </c>
      <c r="K1344" s="4" t="s">
        <v>4285</v>
      </c>
      <c r="L1344" s="5">
        <v>12135</v>
      </c>
    </row>
    <row r="1345" spans="1:12" x14ac:dyDescent="0.25">
      <c r="A1345" s="3" t="s">
        <v>1057</v>
      </c>
      <c r="B1345" s="4" t="s">
        <v>3883</v>
      </c>
      <c r="C1345" s="4" t="s">
        <v>14</v>
      </c>
      <c r="D1345" s="4" t="s">
        <v>15</v>
      </c>
      <c r="E1345" s="5" t="str">
        <f>"9051153"</f>
        <v>9051153</v>
      </c>
      <c r="F1345" s="3" t="s">
        <v>4286</v>
      </c>
      <c r="G1345" s="5">
        <v>2105818225</v>
      </c>
      <c r="H1345" s="4" t="s">
        <v>4287</v>
      </c>
      <c r="I1345" s="4" t="s">
        <v>3936</v>
      </c>
      <c r="J1345" s="4" t="s">
        <v>3937</v>
      </c>
      <c r="K1345" s="4" t="s">
        <v>4288</v>
      </c>
      <c r="L1345" s="5">
        <v>12461</v>
      </c>
    </row>
    <row r="1346" spans="1:12" x14ac:dyDescent="0.25">
      <c r="A1346" s="3" t="s">
        <v>1057</v>
      </c>
      <c r="B1346" s="4" t="s">
        <v>3883</v>
      </c>
      <c r="C1346" s="4" t="s">
        <v>25</v>
      </c>
      <c r="D1346" s="4" t="s">
        <v>26</v>
      </c>
      <c r="E1346" s="5" t="str">
        <f>"9051053"</f>
        <v>9051053</v>
      </c>
      <c r="F1346" s="3" t="s">
        <v>4289</v>
      </c>
      <c r="G1346" s="5">
        <v>2105029988</v>
      </c>
      <c r="H1346" s="4" t="s">
        <v>4290</v>
      </c>
      <c r="I1346" s="4" t="s">
        <v>3886</v>
      </c>
      <c r="J1346" s="4" t="s">
        <v>3887</v>
      </c>
      <c r="K1346" s="4" t="s">
        <v>4291</v>
      </c>
      <c r="L1346" s="5">
        <v>12137</v>
      </c>
    </row>
    <row r="1347" spans="1:12" x14ac:dyDescent="0.25">
      <c r="A1347" s="3" t="s">
        <v>1057</v>
      </c>
      <c r="B1347" s="4" t="s">
        <v>3883</v>
      </c>
      <c r="C1347" s="4" t="s">
        <v>25</v>
      </c>
      <c r="D1347" s="4" t="s">
        <v>26</v>
      </c>
      <c r="E1347" s="5" t="str">
        <f>"9051591"</f>
        <v>9051591</v>
      </c>
      <c r="F1347" s="3" t="s">
        <v>4292</v>
      </c>
      <c r="G1347" s="5">
        <v>2102615644</v>
      </c>
      <c r="H1347" s="4" t="s">
        <v>4293</v>
      </c>
      <c r="I1347" s="4" t="s">
        <v>3958</v>
      </c>
      <c r="J1347" s="4" t="s">
        <v>3959</v>
      </c>
      <c r="K1347" s="4" t="s">
        <v>4294</v>
      </c>
      <c r="L1347" s="5">
        <v>13121</v>
      </c>
    </row>
    <row r="1348" spans="1:12" x14ac:dyDescent="0.25">
      <c r="A1348" s="3" t="s">
        <v>1057</v>
      </c>
      <c r="B1348" s="4" t="s">
        <v>3883</v>
      </c>
      <c r="C1348" s="4" t="s">
        <v>25</v>
      </c>
      <c r="D1348" s="4" t="s">
        <v>26</v>
      </c>
      <c r="E1348" s="5" t="str">
        <f>"9051829"</f>
        <v>9051829</v>
      </c>
      <c r="F1348" s="3" t="s">
        <v>4295</v>
      </c>
      <c r="G1348" s="5">
        <v>2105315587</v>
      </c>
      <c r="H1348" s="4" t="s">
        <v>4296</v>
      </c>
      <c r="I1348" s="4" t="s">
        <v>3936</v>
      </c>
      <c r="J1348" s="4" t="s">
        <v>4082</v>
      </c>
      <c r="K1348" s="4" t="s">
        <v>4297</v>
      </c>
      <c r="L1348" s="5">
        <v>12461</v>
      </c>
    </row>
    <row r="1349" spans="1:12" x14ac:dyDescent="0.25">
      <c r="A1349" s="3" t="s">
        <v>1057</v>
      </c>
      <c r="B1349" s="4" t="s">
        <v>3883</v>
      </c>
      <c r="C1349" s="4" t="s">
        <v>25</v>
      </c>
      <c r="D1349" s="4" t="s">
        <v>26</v>
      </c>
      <c r="E1349" s="5" t="str">
        <f>"9051917"</f>
        <v>9051917</v>
      </c>
      <c r="F1349" s="3" t="s">
        <v>4298</v>
      </c>
      <c r="G1349" s="5">
        <v>2100107314</v>
      </c>
      <c r="H1349" s="4" t="s">
        <v>4299</v>
      </c>
      <c r="I1349" s="4" t="s">
        <v>3958</v>
      </c>
      <c r="J1349" s="4" t="s">
        <v>3959</v>
      </c>
      <c r="K1349" s="4" t="s">
        <v>4300</v>
      </c>
      <c r="L1349" s="5">
        <v>13122</v>
      </c>
    </row>
    <row r="1350" spans="1:12" x14ac:dyDescent="0.25">
      <c r="A1350" s="3" t="s">
        <v>1057</v>
      </c>
      <c r="B1350" s="4" t="s">
        <v>3883</v>
      </c>
      <c r="C1350" s="4" t="s">
        <v>14</v>
      </c>
      <c r="D1350" s="4" t="s">
        <v>15</v>
      </c>
      <c r="E1350" s="5" t="str">
        <f>"9051274"</f>
        <v>9051274</v>
      </c>
      <c r="F1350" s="3" t="s">
        <v>4301</v>
      </c>
      <c r="G1350" s="5">
        <v>2102387570</v>
      </c>
      <c r="H1350" s="4" t="s">
        <v>4302</v>
      </c>
      <c r="I1350" s="4" t="s">
        <v>3914</v>
      </c>
      <c r="J1350" s="4" t="s">
        <v>4303</v>
      </c>
      <c r="K1350" s="4" t="s">
        <v>4304</v>
      </c>
      <c r="L1350" s="5">
        <v>13451</v>
      </c>
    </row>
    <row r="1351" spans="1:12" x14ac:dyDescent="0.25">
      <c r="A1351" s="3" t="s">
        <v>1057</v>
      </c>
      <c r="B1351" s="4" t="s">
        <v>3883</v>
      </c>
      <c r="C1351" s="4" t="s">
        <v>25</v>
      </c>
      <c r="D1351" s="4" t="s">
        <v>26</v>
      </c>
      <c r="E1351" s="5" t="str">
        <f>"9051226"</f>
        <v>9051226</v>
      </c>
      <c r="F1351" s="3" t="s">
        <v>4305</v>
      </c>
      <c r="G1351" s="5">
        <v>2105754400</v>
      </c>
      <c r="H1351" s="4" t="s">
        <v>4306</v>
      </c>
      <c r="I1351" s="4" t="s">
        <v>3886</v>
      </c>
      <c r="J1351" s="4" t="s">
        <v>3887</v>
      </c>
      <c r="K1351" s="4" t="s">
        <v>4307</v>
      </c>
      <c r="L1351" s="5">
        <v>12132</v>
      </c>
    </row>
    <row r="1352" spans="1:12" x14ac:dyDescent="0.25">
      <c r="A1352" s="3" t="s">
        <v>1057</v>
      </c>
      <c r="B1352" s="4" t="s">
        <v>3883</v>
      </c>
      <c r="C1352" s="4" t="s">
        <v>25</v>
      </c>
      <c r="D1352" s="4" t="s">
        <v>26</v>
      </c>
      <c r="E1352" s="5" t="str">
        <f>"9051314"</f>
        <v>9051314</v>
      </c>
      <c r="F1352" s="3" t="s">
        <v>4308</v>
      </c>
      <c r="G1352" s="5">
        <v>2105323585</v>
      </c>
      <c r="H1352" s="4" t="s">
        <v>4309</v>
      </c>
      <c r="I1352" s="4" t="s">
        <v>3936</v>
      </c>
      <c r="J1352" s="4" t="s">
        <v>4082</v>
      </c>
      <c r="K1352" s="4" t="s">
        <v>1924</v>
      </c>
      <c r="L1352" s="5">
        <v>12461</v>
      </c>
    </row>
    <row r="1353" spans="1:12" x14ac:dyDescent="0.25">
      <c r="A1353" s="3" t="s">
        <v>1057</v>
      </c>
      <c r="B1353" s="4" t="s">
        <v>3883</v>
      </c>
      <c r="C1353" s="4" t="s">
        <v>25</v>
      </c>
      <c r="D1353" s="4" t="s">
        <v>26</v>
      </c>
      <c r="E1353" s="5" t="str">
        <f>"9050434"</f>
        <v>9050434</v>
      </c>
      <c r="F1353" s="3" t="s">
        <v>4310</v>
      </c>
      <c r="G1353" s="5">
        <v>2102615686</v>
      </c>
      <c r="H1353" s="4" t="s">
        <v>4311</v>
      </c>
      <c r="I1353" s="4" t="s">
        <v>3958</v>
      </c>
      <c r="J1353" s="4" t="s">
        <v>3959</v>
      </c>
      <c r="K1353" s="4" t="s">
        <v>4312</v>
      </c>
      <c r="L1353" s="5">
        <v>13122</v>
      </c>
    </row>
    <row r="1354" spans="1:12" x14ac:dyDescent="0.25">
      <c r="A1354" s="3" t="s">
        <v>1057</v>
      </c>
      <c r="B1354" s="4" t="s">
        <v>3883</v>
      </c>
      <c r="C1354" s="4" t="s">
        <v>25</v>
      </c>
      <c r="D1354" s="4" t="s">
        <v>26</v>
      </c>
      <c r="E1354" s="5" t="str">
        <f>"9051511"</f>
        <v>9051511</v>
      </c>
      <c r="F1354" s="3" t="s">
        <v>4313</v>
      </c>
      <c r="G1354" s="5">
        <v>2105736040</v>
      </c>
      <c r="H1354" s="4" t="s">
        <v>4314</v>
      </c>
      <c r="I1354" s="4" t="s">
        <v>3886</v>
      </c>
      <c r="J1354" s="4" t="s">
        <v>3887</v>
      </c>
      <c r="K1354" s="4" t="s">
        <v>4315</v>
      </c>
      <c r="L1354" s="5">
        <v>12137</v>
      </c>
    </row>
    <row r="1355" spans="1:12" x14ac:dyDescent="0.25">
      <c r="A1355" s="3" t="s">
        <v>1057</v>
      </c>
      <c r="B1355" s="4" t="s">
        <v>3883</v>
      </c>
      <c r="C1355" s="4" t="s">
        <v>25</v>
      </c>
      <c r="D1355" s="4" t="s">
        <v>26</v>
      </c>
      <c r="E1355" s="5" t="str">
        <f>"9050258"</f>
        <v>9050258</v>
      </c>
      <c r="F1355" s="3" t="s">
        <v>4316</v>
      </c>
      <c r="G1355" s="5">
        <v>2102385710</v>
      </c>
      <c r="H1355" s="4" t="s">
        <v>4317</v>
      </c>
      <c r="I1355" s="4" t="s">
        <v>3914</v>
      </c>
      <c r="J1355" s="4" t="s">
        <v>4182</v>
      </c>
      <c r="K1355" s="4" t="s">
        <v>4318</v>
      </c>
      <c r="L1355" s="5">
        <v>13451</v>
      </c>
    </row>
    <row r="1356" spans="1:12" x14ac:dyDescent="0.25">
      <c r="A1356" s="3" t="s">
        <v>1057</v>
      </c>
      <c r="B1356" s="4" t="s">
        <v>3883</v>
      </c>
      <c r="C1356" s="4" t="s">
        <v>25</v>
      </c>
      <c r="D1356" s="4" t="s">
        <v>26</v>
      </c>
      <c r="E1356" s="5" t="str">
        <f>"9050794"</f>
        <v>9050794</v>
      </c>
      <c r="F1356" s="3" t="s">
        <v>4319</v>
      </c>
      <c r="G1356" s="5">
        <v>2102322655</v>
      </c>
      <c r="H1356" s="4" t="s">
        <v>4320</v>
      </c>
      <c r="I1356" s="4" t="s">
        <v>3914</v>
      </c>
      <c r="J1356" s="4" t="s">
        <v>4182</v>
      </c>
      <c r="K1356" s="4" t="s">
        <v>4321</v>
      </c>
      <c r="L1356" s="5">
        <v>13451</v>
      </c>
    </row>
    <row r="1357" spans="1:12" x14ac:dyDescent="0.25">
      <c r="A1357" s="3" t="s">
        <v>1057</v>
      </c>
      <c r="B1357" s="4" t="s">
        <v>3883</v>
      </c>
      <c r="C1357" s="4" t="s">
        <v>25</v>
      </c>
      <c r="D1357" s="4" t="s">
        <v>26</v>
      </c>
      <c r="E1357" s="5" t="str">
        <f>"9050840"</f>
        <v>9050840</v>
      </c>
      <c r="F1357" s="3" t="s">
        <v>4322</v>
      </c>
      <c r="G1357" s="5">
        <v>2105737078</v>
      </c>
      <c r="H1357" s="4" t="s">
        <v>4323</v>
      </c>
      <c r="I1357" s="4" t="s">
        <v>3886</v>
      </c>
      <c r="J1357" s="4" t="s">
        <v>3887</v>
      </c>
      <c r="K1357" s="4" t="s">
        <v>4324</v>
      </c>
      <c r="L1357" s="5">
        <v>12131</v>
      </c>
    </row>
    <row r="1358" spans="1:12" x14ac:dyDescent="0.25">
      <c r="A1358" s="3" t="s">
        <v>1057</v>
      </c>
      <c r="B1358" s="4" t="s">
        <v>3883</v>
      </c>
      <c r="C1358" s="4" t="s">
        <v>25</v>
      </c>
      <c r="D1358" s="4" t="s">
        <v>26</v>
      </c>
      <c r="E1358" s="5" t="str">
        <f>"9051068"</f>
        <v>9051068</v>
      </c>
      <c r="F1358" s="3" t="s">
        <v>4325</v>
      </c>
      <c r="G1358" s="5">
        <v>2105069377</v>
      </c>
      <c r="H1358" s="4" t="s">
        <v>4326</v>
      </c>
      <c r="I1358" s="4" t="s">
        <v>3914</v>
      </c>
      <c r="J1358" s="4" t="s">
        <v>4182</v>
      </c>
      <c r="K1358" s="4" t="s">
        <v>4327</v>
      </c>
      <c r="L1358" s="5">
        <v>13451</v>
      </c>
    </row>
    <row r="1359" spans="1:12" x14ac:dyDescent="0.25">
      <c r="A1359" s="3" t="s">
        <v>1057</v>
      </c>
      <c r="B1359" s="4" t="s">
        <v>3883</v>
      </c>
      <c r="C1359" s="4" t="s">
        <v>25</v>
      </c>
      <c r="D1359" s="4" t="s">
        <v>26</v>
      </c>
      <c r="E1359" s="5" t="str">
        <f>"9050869"</f>
        <v>9050869</v>
      </c>
      <c r="F1359" s="3" t="s">
        <v>4328</v>
      </c>
      <c r="G1359" s="5">
        <v>2105050455</v>
      </c>
      <c r="H1359" s="4" t="s">
        <v>4329</v>
      </c>
      <c r="I1359" s="4" t="s">
        <v>3891</v>
      </c>
      <c r="J1359" s="4" t="s">
        <v>4014</v>
      </c>
      <c r="K1359" s="4" t="s">
        <v>4330</v>
      </c>
      <c r="L1359" s="5">
        <v>13232</v>
      </c>
    </row>
    <row r="1360" spans="1:12" x14ac:dyDescent="0.25">
      <c r="A1360" s="3" t="s">
        <v>1057</v>
      </c>
      <c r="B1360" s="4" t="s">
        <v>3883</v>
      </c>
      <c r="C1360" s="4" t="s">
        <v>25</v>
      </c>
      <c r="D1360" s="4" t="s">
        <v>26</v>
      </c>
      <c r="E1360" s="5" t="str">
        <f>"9520642"</f>
        <v>9520642</v>
      </c>
      <c r="F1360" s="3" t="s">
        <v>4331</v>
      </c>
      <c r="G1360" s="5">
        <v>2105322182</v>
      </c>
      <c r="H1360" s="4" t="s">
        <v>4332</v>
      </c>
      <c r="I1360" s="4" t="s">
        <v>3936</v>
      </c>
      <c r="J1360" s="4" t="s">
        <v>4082</v>
      </c>
      <c r="K1360" s="4" t="s">
        <v>4333</v>
      </c>
      <c r="L1360" s="5">
        <v>12461</v>
      </c>
    </row>
    <row r="1361" spans="1:12" x14ac:dyDescent="0.25">
      <c r="A1361" s="3" t="s">
        <v>1057</v>
      </c>
      <c r="B1361" s="4" t="s">
        <v>3883</v>
      </c>
      <c r="C1361" s="4" t="s">
        <v>25</v>
      </c>
      <c r="D1361" s="4" t="s">
        <v>821</v>
      </c>
      <c r="E1361" s="5" t="str">
        <f>"9051632"</f>
        <v>9051632</v>
      </c>
      <c r="F1361" s="3" t="s">
        <v>4334</v>
      </c>
      <c r="G1361" s="5">
        <v>2105616302</v>
      </c>
      <c r="H1361" s="4" t="s">
        <v>4335</v>
      </c>
      <c r="I1361" s="4" t="s">
        <v>3919</v>
      </c>
      <c r="J1361" s="4" t="s">
        <v>3920</v>
      </c>
      <c r="K1361" s="4" t="s">
        <v>4116</v>
      </c>
      <c r="L1361" s="5">
        <v>12351</v>
      </c>
    </row>
    <row r="1362" spans="1:12" x14ac:dyDescent="0.25">
      <c r="A1362" s="3" t="s">
        <v>1057</v>
      </c>
      <c r="B1362" s="4" t="s">
        <v>3883</v>
      </c>
      <c r="C1362" s="4" t="s">
        <v>14</v>
      </c>
      <c r="D1362" s="4" t="s">
        <v>15</v>
      </c>
      <c r="E1362" s="5" t="str">
        <f>"9050350"</f>
        <v>9050350</v>
      </c>
      <c r="F1362" s="3" t="s">
        <v>4336</v>
      </c>
      <c r="G1362" s="5">
        <v>2105448444</v>
      </c>
      <c r="H1362" s="4" t="s">
        <v>4337</v>
      </c>
      <c r="I1362" s="4" t="s">
        <v>3951</v>
      </c>
      <c r="J1362" s="4" t="s">
        <v>3951</v>
      </c>
      <c r="K1362" s="4" t="s">
        <v>4338</v>
      </c>
      <c r="L1362" s="5">
        <v>12444</v>
      </c>
    </row>
    <row r="1363" spans="1:12" x14ac:dyDescent="0.25">
      <c r="A1363" s="3" t="s">
        <v>1057</v>
      </c>
      <c r="B1363" s="4" t="s">
        <v>3883</v>
      </c>
      <c r="C1363" s="4" t="s">
        <v>25</v>
      </c>
      <c r="D1363" s="4" t="s">
        <v>26</v>
      </c>
      <c r="E1363" s="5" t="str">
        <f>"9050762"</f>
        <v>9050762</v>
      </c>
      <c r="F1363" s="3" t="s">
        <v>4339</v>
      </c>
      <c r="G1363" s="5">
        <v>2105819911</v>
      </c>
      <c r="H1363" s="4" t="s">
        <v>4340</v>
      </c>
      <c r="I1363" s="4" t="s">
        <v>3936</v>
      </c>
      <c r="J1363" s="4" t="s">
        <v>4082</v>
      </c>
      <c r="K1363" s="4" t="s">
        <v>4341</v>
      </c>
      <c r="L1363" s="5">
        <v>12462</v>
      </c>
    </row>
    <row r="1364" spans="1:12" x14ac:dyDescent="0.25">
      <c r="A1364" s="3" t="s">
        <v>1057</v>
      </c>
      <c r="B1364" s="4" t="s">
        <v>3883</v>
      </c>
      <c r="C1364" s="4" t="s">
        <v>14</v>
      </c>
      <c r="D1364" s="4" t="s">
        <v>15</v>
      </c>
      <c r="E1364" s="5" t="str">
        <f>"9051134"</f>
        <v>9051134</v>
      </c>
      <c r="F1364" s="3" t="s">
        <v>4342</v>
      </c>
      <c r="G1364" s="5">
        <v>2105738067</v>
      </c>
      <c r="H1364" s="4" t="s">
        <v>4343</v>
      </c>
      <c r="I1364" s="4" t="s">
        <v>3886</v>
      </c>
      <c r="J1364" s="4" t="s">
        <v>3887</v>
      </c>
      <c r="K1364" s="4" t="s">
        <v>4344</v>
      </c>
      <c r="L1364" s="5">
        <v>12135</v>
      </c>
    </row>
    <row r="1365" spans="1:12" x14ac:dyDescent="0.25">
      <c r="A1365" s="3" t="s">
        <v>1057</v>
      </c>
      <c r="B1365" s="4" t="s">
        <v>3883</v>
      </c>
      <c r="C1365" s="4" t="s">
        <v>25</v>
      </c>
      <c r="D1365" s="4" t="s">
        <v>26</v>
      </c>
      <c r="E1365" s="5" t="str">
        <f>"9051240"</f>
        <v>9051240</v>
      </c>
      <c r="F1365" s="3" t="s">
        <v>4345</v>
      </c>
      <c r="G1365" s="5">
        <v>2102311716</v>
      </c>
      <c r="H1365" s="4" t="s">
        <v>4346</v>
      </c>
      <c r="I1365" s="4" t="s">
        <v>3914</v>
      </c>
      <c r="J1365" s="4" t="s">
        <v>4182</v>
      </c>
      <c r="K1365" s="4" t="s">
        <v>4347</v>
      </c>
      <c r="L1365" s="5">
        <v>13451</v>
      </c>
    </row>
    <row r="1366" spans="1:12" x14ac:dyDescent="0.25">
      <c r="A1366" s="3" t="s">
        <v>1057</v>
      </c>
      <c r="B1366" s="4" t="s">
        <v>3883</v>
      </c>
      <c r="C1366" s="4" t="s">
        <v>25</v>
      </c>
      <c r="D1366" s="4" t="s">
        <v>26</v>
      </c>
      <c r="E1366" s="5" t="str">
        <f>"9051309"</f>
        <v>9051309</v>
      </c>
      <c r="F1366" s="3" t="s">
        <v>4348</v>
      </c>
      <c r="G1366" s="5">
        <v>2102387990</v>
      </c>
      <c r="H1366" s="4" t="s">
        <v>4349</v>
      </c>
      <c r="I1366" s="4" t="s">
        <v>3914</v>
      </c>
      <c r="J1366" s="4" t="s">
        <v>4182</v>
      </c>
      <c r="K1366" s="4" t="s">
        <v>4350</v>
      </c>
      <c r="L1366" s="5">
        <v>13451</v>
      </c>
    </row>
    <row r="1367" spans="1:12" x14ac:dyDescent="0.25">
      <c r="A1367" s="3" t="s">
        <v>1057</v>
      </c>
      <c r="B1367" s="4" t="s">
        <v>3883</v>
      </c>
      <c r="C1367" s="4" t="s">
        <v>25</v>
      </c>
      <c r="D1367" s="4" t="s">
        <v>26</v>
      </c>
      <c r="E1367" s="5" t="str">
        <f>"9050256"</f>
        <v>9050256</v>
      </c>
      <c r="F1367" s="3" t="s">
        <v>4351</v>
      </c>
      <c r="G1367" s="5">
        <v>2102311239</v>
      </c>
      <c r="H1367" s="4" t="s">
        <v>4352</v>
      </c>
      <c r="I1367" s="4" t="s">
        <v>3914</v>
      </c>
      <c r="J1367" s="4" t="s">
        <v>4182</v>
      </c>
      <c r="K1367" s="4" t="s">
        <v>4353</v>
      </c>
      <c r="L1367" s="5">
        <v>13451</v>
      </c>
    </row>
    <row r="1368" spans="1:12" x14ac:dyDescent="0.25">
      <c r="A1368" s="3" t="s">
        <v>1057</v>
      </c>
      <c r="B1368" s="4" t="s">
        <v>3883</v>
      </c>
      <c r="C1368" s="4" t="s">
        <v>14</v>
      </c>
      <c r="D1368" s="4" t="s">
        <v>15</v>
      </c>
      <c r="E1368" s="5" t="str">
        <f>"9050347"</f>
        <v>9050347</v>
      </c>
      <c r="F1368" s="3" t="s">
        <v>4354</v>
      </c>
      <c r="G1368" s="5">
        <v>2105611233</v>
      </c>
      <c r="H1368" s="4" t="s">
        <v>4355</v>
      </c>
      <c r="I1368" s="4" t="s">
        <v>3951</v>
      </c>
      <c r="J1368" s="4" t="s">
        <v>3951</v>
      </c>
      <c r="K1368" s="4" t="s">
        <v>4356</v>
      </c>
      <c r="L1368" s="5">
        <v>12241</v>
      </c>
    </row>
    <row r="1369" spans="1:12" ht="30" x14ac:dyDescent="0.25">
      <c r="A1369" s="3" t="s">
        <v>1057</v>
      </c>
      <c r="B1369" s="4" t="s">
        <v>3883</v>
      </c>
      <c r="C1369" s="4" t="s">
        <v>14</v>
      </c>
      <c r="D1369" s="4" t="s">
        <v>15</v>
      </c>
      <c r="E1369" s="5" t="str">
        <f>"9051650"</f>
        <v>9051650</v>
      </c>
      <c r="F1369" s="3" t="s">
        <v>4357</v>
      </c>
      <c r="G1369" s="5">
        <v>2105024001</v>
      </c>
      <c r="H1369" s="4" t="s">
        <v>4358</v>
      </c>
      <c r="I1369" s="4" t="s">
        <v>3891</v>
      </c>
      <c r="J1369" s="4" t="s">
        <v>3892</v>
      </c>
      <c r="K1369" s="4" t="s">
        <v>4359</v>
      </c>
      <c r="L1369" s="5">
        <v>13231</v>
      </c>
    </row>
    <row r="1370" spans="1:12" x14ac:dyDescent="0.25">
      <c r="A1370" s="3" t="s">
        <v>1057</v>
      </c>
      <c r="B1370" s="4" t="s">
        <v>3883</v>
      </c>
      <c r="C1370" s="4" t="s">
        <v>14</v>
      </c>
      <c r="D1370" s="4" t="s">
        <v>15</v>
      </c>
      <c r="E1370" s="5" t="str">
        <f>"9051130"</f>
        <v>9051130</v>
      </c>
      <c r="F1370" s="3" t="s">
        <v>4360</v>
      </c>
      <c r="G1370" s="5">
        <v>2105739821</v>
      </c>
      <c r="H1370" s="4" t="s">
        <v>4361</v>
      </c>
      <c r="I1370" s="4" t="s">
        <v>3886</v>
      </c>
      <c r="J1370" s="4" t="s">
        <v>3887</v>
      </c>
      <c r="K1370" s="4" t="s">
        <v>4362</v>
      </c>
      <c r="L1370" s="5">
        <v>12131</v>
      </c>
    </row>
    <row r="1371" spans="1:12" ht="30" x14ac:dyDescent="0.25">
      <c r="A1371" s="3" t="s">
        <v>1057</v>
      </c>
      <c r="B1371" s="4" t="s">
        <v>3883</v>
      </c>
      <c r="C1371" s="4" t="s">
        <v>14</v>
      </c>
      <c r="D1371" s="4" t="s">
        <v>15</v>
      </c>
      <c r="E1371" s="5" t="str">
        <f>"9050440"</f>
        <v>9050440</v>
      </c>
      <c r="F1371" s="3" t="s">
        <v>4363</v>
      </c>
      <c r="G1371" s="5">
        <v>2105015408</v>
      </c>
      <c r="H1371" s="4" t="s">
        <v>4364</v>
      </c>
      <c r="I1371" s="4" t="s">
        <v>3891</v>
      </c>
      <c r="J1371" s="4" t="s">
        <v>3892</v>
      </c>
      <c r="K1371" s="4" t="s">
        <v>4365</v>
      </c>
      <c r="L1371" s="5">
        <v>13231</v>
      </c>
    </row>
    <row r="1372" spans="1:12" x14ac:dyDescent="0.25">
      <c r="A1372" s="3" t="s">
        <v>1057</v>
      </c>
      <c r="B1372" s="4" t="s">
        <v>3883</v>
      </c>
      <c r="C1372" s="4" t="s">
        <v>14</v>
      </c>
      <c r="D1372" s="4" t="s">
        <v>15</v>
      </c>
      <c r="E1372" s="5" t="str">
        <f>"9050407"</f>
        <v>9050407</v>
      </c>
      <c r="F1372" s="3" t="s">
        <v>4366</v>
      </c>
      <c r="G1372" s="5">
        <v>2105712906</v>
      </c>
      <c r="H1372" s="4" t="s">
        <v>4367</v>
      </c>
      <c r="I1372" s="4" t="s">
        <v>3886</v>
      </c>
      <c r="J1372" s="4" t="s">
        <v>3887</v>
      </c>
      <c r="K1372" s="4" t="s">
        <v>4368</v>
      </c>
      <c r="L1372" s="5">
        <v>12133</v>
      </c>
    </row>
    <row r="1373" spans="1:12" x14ac:dyDescent="0.25">
      <c r="A1373" s="3" t="s">
        <v>1057</v>
      </c>
      <c r="B1373" s="4" t="s">
        <v>3883</v>
      </c>
      <c r="C1373" s="4" t="s">
        <v>25</v>
      </c>
      <c r="D1373" s="4" t="s">
        <v>26</v>
      </c>
      <c r="E1373" s="5" t="str">
        <f>"9050378"</f>
        <v>9050378</v>
      </c>
      <c r="F1373" s="3" t="s">
        <v>4369</v>
      </c>
      <c r="G1373" s="5">
        <v>2105713994</v>
      </c>
      <c r="H1373" s="4" t="s">
        <v>4370</v>
      </c>
      <c r="I1373" s="4" t="s">
        <v>3886</v>
      </c>
      <c r="J1373" s="4" t="s">
        <v>3887</v>
      </c>
      <c r="K1373" s="4" t="s">
        <v>4371</v>
      </c>
      <c r="L1373" s="5">
        <v>12132</v>
      </c>
    </row>
    <row r="1374" spans="1:12" x14ac:dyDescent="0.25">
      <c r="A1374" s="3" t="s">
        <v>1057</v>
      </c>
      <c r="B1374" s="4" t="s">
        <v>3883</v>
      </c>
      <c r="C1374" s="4" t="s">
        <v>25</v>
      </c>
      <c r="D1374" s="4" t="s">
        <v>26</v>
      </c>
      <c r="E1374" s="5" t="str">
        <f>"9050763"</f>
        <v>9050763</v>
      </c>
      <c r="F1374" s="3" t="s">
        <v>4372</v>
      </c>
      <c r="G1374" s="5">
        <v>2105725805</v>
      </c>
      <c r="H1374" s="4" t="s">
        <v>4373</v>
      </c>
      <c r="I1374" s="4" t="s">
        <v>3886</v>
      </c>
      <c r="J1374" s="4" t="s">
        <v>3886</v>
      </c>
      <c r="K1374" s="4" t="s">
        <v>4374</v>
      </c>
      <c r="L1374" s="5">
        <v>12133</v>
      </c>
    </row>
    <row r="1375" spans="1:12" x14ac:dyDescent="0.25">
      <c r="A1375" s="3" t="s">
        <v>1057</v>
      </c>
      <c r="B1375" s="4" t="s">
        <v>3883</v>
      </c>
      <c r="C1375" s="4" t="s">
        <v>14</v>
      </c>
      <c r="D1375" s="4" t="s">
        <v>15</v>
      </c>
      <c r="E1375" s="5" t="str">
        <f>"9050370"</f>
        <v>9050370</v>
      </c>
      <c r="F1375" s="3" t="s">
        <v>4375</v>
      </c>
      <c r="G1375" s="5">
        <v>2105815208</v>
      </c>
      <c r="H1375" s="4" t="s">
        <v>4376</v>
      </c>
      <c r="I1375" s="4" t="s">
        <v>3936</v>
      </c>
      <c r="J1375" s="4" t="s">
        <v>3947</v>
      </c>
      <c r="K1375" s="4" t="s">
        <v>4149</v>
      </c>
      <c r="L1375" s="5">
        <v>12461</v>
      </c>
    </row>
    <row r="1376" spans="1:12" x14ac:dyDescent="0.25">
      <c r="A1376" s="3" t="s">
        <v>1057</v>
      </c>
      <c r="B1376" s="4" t="s">
        <v>3883</v>
      </c>
      <c r="C1376" s="4" t="s">
        <v>25</v>
      </c>
      <c r="D1376" s="4" t="s">
        <v>26</v>
      </c>
      <c r="E1376" s="5" t="str">
        <f>"9051837"</f>
        <v>9051837</v>
      </c>
      <c r="F1376" s="3" t="s">
        <v>4377</v>
      </c>
      <c r="G1376" s="5">
        <v>2105322424</v>
      </c>
      <c r="H1376" s="4" t="s">
        <v>4378</v>
      </c>
      <c r="I1376" s="4" t="s">
        <v>3936</v>
      </c>
      <c r="J1376" s="4" t="s">
        <v>4082</v>
      </c>
      <c r="K1376" s="4" t="s">
        <v>4379</v>
      </c>
      <c r="L1376" s="5">
        <v>12462</v>
      </c>
    </row>
    <row r="1377" spans="1:12" x14ac:dyDescent="0.25">
      <c r="A1377" s="3" t="s">
        <v>1057</v>
      </c>
      <c r="B1377" s="4" t="s">
        <v>3883</v>
      </c>
      <c r="C1377" s="4" t="s">
        <v>25</v>
      </c>
      <c r="D1377" s="4" t="s">
        <v>26</v>
      </c>
      <c r="E1377" s="5" t="str">
        <f>"9050864"</f>
        <v>9050864</v>
      </c>
      <c r="F1377" s="3" t="s">
        <v>4380</v>
      </c>
      <c r="G1377" s="5">
        <v>2108542647</v>
      </c>
      <c r="H1377" s="4" t="s">
        <v>4381</v>
      </c>
      <c r="I1377" s="4" t="s">
        <v>3914</v>
      </c>
      <c r="J1377" s="4" t="s">
        <v>3915</v>
      </c>
      <c r="K1377" s="4" t="s">
        <v>4382</v>
      </c>
      <c r="L1377" s="5">
        <v>13561</v>
      </c>
    </row>
    <row r="1378" spans="1:12" x14ac:dyDescent="0.25">
      <c r="A1378" s="3" t="s">
        <v>1057</v>
      </c>
      <c r="B1378" s="4" t="s">
        <v>3883</v>
      </c>
      <c r="C1378" s="4" t="s">
        <v>25</v>
      </c>
      <c r="D1378" s="4" t="s">
        <v>26</v>
      </c>
      <c r="E1378" s="5" t="str">
        <f>"9050442"</f>
        <v>9050442</v>
      </c>
      <c r="F1378" s="3" t="s">
        <v>4383</v>
      </c>
      <c r="G1378" s="5">
        <v>2105013637</v>
      </c>
      <c r="H1378" s="4" t="s">
        <v>4384</v>
      </c>
      <c r="I1378" s="4" t="s">
        <v>3891</v>
      </c>
      <c r="J1378" s="4" t="s">
        <v>4014</v>
      </c>
      <c r="K1378" s="4" t="s">
        <v>4385</v>
      </c>
      <c r="L1378" s="5">
        <v>13231</v>
      </c>
    </row>
    <row r="1379" spans="1:12" x14ac:dyDescent="0.25">
      <c r="A1379" s="3" t="s">
        <v>1057</v>
      </c>
      <c r="B1379" s="4" t="s">
        <v>3883</v>
      </c>
      <c r="C1379" s="4" t="s">
        <v>14</v>
      </c>
      <c r="D1379" s="4" t="s">
        <v>15</v>
      </c>
      <c r="E1379" s="5" t="str">
        <f>"9050334"</f>
        <v>9050334</v>
      </c>
      <c r="F1379" s="3" t="s">
        <v>4386</v>
      </c>
      <c r="G1379" s="5">
        <v>2105611954</v>
      </c>
      <c r="H1379" s="4" t="s">
        <v>4387</v>
      </c>
      <c r="I1379" s="4" t="s">
        <v>3919</v>
      </c>
      <c r="J1379" s="4" t="s">
        <v>3920</v>
      </c>
      <c r="K1379" s="4" t="s">
        <v>4388</v>
      </c>
      <c r="L1379" s="5">
        <v>12351</v>
      </c>
    </row>
    <row r="1380" spans="1:12" x14ac:dyDescent="0.25">
      <c r="A1380" s="3" t="s">
        <v>1057</v>
      </c>
      <c r="B1380" s="4" t="s">
        <v>3883</v>
      </c>
      <c r="C1380" s="4" t="s">
        <v>25</v>
      </c>
      <c r="D1380" s="4" t="s">
        <v>26</v>
      </c>
      <c r="E1380" s="5" t="str">
        <f>"9051239"</f>
        <v>9051239</v>
      </c>
      <c r="F1380" s="3" t="s">
        <v>4389</v>
      </c>
      <c r="G1380" s="5">
        <v>2102322422</v>
      </c>
      <c r="H1380" s="4" t="s">
        <v>4390</v>
      </c>
      <c r="I1380" s="4" t="s">
        <v>3914</v>
      </c>
      <c r="J1380" s="4" t="s">
        <v>4182</v>
      </c>
      <c r="K1380" s="4" t="s">
        <v>4353</v>
      </c>
      <c r="L1380" s="5">
        <v>13451</v>
      </c>
    </row>
    <row r="1381" spans="1:12" x14ac:dyDescent="0.25">
      <c r="A1381" s="3" t="s">
        <v>1057</v>
      </c>
      <c r="B1381" s="4" t="s">
        <v>3883</v>
      </c>
      <c r="C1381" s="4" t="s">
        <v>25</v>
      </c>
      <c r="D1381" s="4" t="s">
        <v>26</v>
      </c>
      <c r="E1381" s="5" t="str">
        <f>"9050843"</f>
        <v>9050843</v>
      </c>
      <c r="F1381" s="3" t="s">
        <v>4391</v>
      </c>
      <c r="G1381" s="5">
        <v>2105016078</v>
      </c>
      <c r="H1381" s="4" t="s">
        <v>4392</v>
      </c>
      <c r="I1381" s="4" t="s">
        <v>3891</v>
      </c>
      <c r="J1381" s="4" t="s">
        <v>4014</v>
      </c>
      <c r="K1381" s="4" t="s">
        <v>4393</v>
      </c>
      <c r="L1381" s="5">
        <v>13231</v>
      </c>
    </row>
    <row r="1382" spans="1:12" x14ac:dyDescent="0.25">
      <c r="A1382" s="3" t="s">
        <v>1057</v>
      </c>
      <c r="B1382" s="4" t="s">
        <v>3883</v>
      </c>
      <c r="C1382" s="4" t="s">
        <v>25</v>
      </c>
      <c r="D1382" s="4" t="s">
        <v>26</v>
      </c>
      <c r="E1382" s="5" t="str">
        <f>"9051879"</f>
        <v>9051879</v>
      </c>
      <c r="F1382" s="3" t="s">
        <v>4394</v>
      </c>
      <c r="G1382" s="5">
        <v>2102323373</v>
      </c>
      <c r="H1382" s="4" t="s">
        <v>4395</v>
      </c>
      <c r="I1382" s="4" t="s">
        <v>3914</v>
      </c>
      <c r="J1382" s="4" t="s">
        <v>4182</v>
      </c>
      <c r="K1382" s="4" t="s">
        <v>4396</v>
      </c>
      <c r="L1382" s="5">
        <v>13451</v>
      </c>
    </row>
    <row r="1383" spans="1:12" x14ac:dyDescent="0.25">
      <c r="A1383" s="3" t="s">
        <v>1057</v>
      </c>
      <c r="B1383" s="4" t="s">
        <v>3883</v>
      </c>
      <c r="C1383" s="4" t="s">
        <v>25</v>
      </c>
      <c r="D1383" s="4" t="s">
        <v>26</v>
      </c>
      <c r="E1383" s="5" t="str">
        <f>"9050986"</f>
        <v>9050986</v>
      </c>
      <c r="F1383" s="3" t="s">
        <v>4397</v>
      </c>
      <c r="G1383" s="5">
        <v>2105013784</v>
      </c>
      <c r="H1383" s="4" t="s">
        <v>4398</v>
      </c>
      <c r="I1383" s="4" t="s">
        <v>3891</v>
      </c>
      <c r="J1383" s="4" t="s">
        <v>4014</v>
      </c>
      <c r="K1383" s="4" t="s">
        <v>4399</v>
      </c>
      <c r="L1383" s="5">
        <v>13231</v>
      </c>
    </row>
    <row r="1384" spans="1:12" x14ac:dyDescent="0.25">
      <c r="A1384" s="3" t="s">
        <v>1057</v>
      </c>
      <c r="B1384" s="4" t="s">
        <v>3883</v>
      </c>
      <c r="C1384" s="4" t="s">
        <v>14</v>
      </c>
      <c r="D1384" s="4" t="s">
        <v>15</v>
      </c>
      <c r="E1384" s="5" t="str">
        <f>"9050388"</f>
        <v>9050388</v>
      </c>
      <c r="F1384" s="3" t="s">
        <v>4400</v>
      </c>
      <c r="G1384" s="5">
        <v>2105719337</v>
      </c>
      <c r="H1384" s="4" t="s">
        <v>4401</v>
      </c>
      <c r="I1384" s="4" t="s">
        <v>3886</v>
      </c>
      <c r="J1384" s="4" t="s">
        <v>4402</v>
      </c>
      <c r="K1384" s="4" t="s">
        <v>4403</v>
      </c>
      <c r="L1384" s="5">
        <v>12132</v>
      </c>
    </row>
    <row r="1385" spans="1:12" x14ac:dyDescent="0.25">
      <c r="A1385" s="3" t="s">
        <v>1057</v>
      </c>
      <c r="B1385" s="4" t="s">
        <v>3883</v>
      </c>
      <c r="C1385" s="4" t="s">
        <v>25</v>
      </c>
      <c r="D1385" s="4" t="s">
        <v>26</v>
      </c>
      <c r="E1385" s="5" t="str">
        <f>"9051903"</f>
        <v>9051903</v>
      </c>
      <c r="F1385" s="3" t="s">
        <v>4404</v>
      </c>
      <c r="G1385" s="5">
        <v>2102384824</v>
      </c>
      <c r="H1385" s="4" t="s">
        <v>4405</v>
      </c>
      <c r="I1385" s="4" t="s">
        <v>3914</v>
      </c>
      <c r="J1385" s="4" t="s">
        <v>4182</v>
      </c>
      <c r="K1385" s="4" t="s">
        <v>4406</v>
      </c>
      <c r="L1385" s="5">
        <v>13451</v>
      </c>
    </row>
    <row r="1386" spans="1:12" x14ac:dyDescent="0.25">
      <c r="A1386" s="3" t="s">
        <v>1057</v>
      </c>
      <c r="B1386" s="4" t="s">
        <v>3883</v>
      </c>
      <c r="C1386" s="4" t="s">
        <v>14</v>
      </c>
      <c r="D1386" s="4" t="s">
        <v>15</v>
      </c>
      <c r="E1386" s="5" t="str">
        <f>"9050355"</f>
        <v>9050355</v>
      </c>
      <c r="F1386" s="3" t="s">
        <v>4407</v>
      </c>
      <c r="G1386" s="5">
        <v>2105610474</v>
      </c>
      <c r="H1386" s="4" t="s">
        <v>4408</v>
      </c>
      <c r="I1386" s="4" t="s">
        <v>3951</v>
      </c>
      <c r="J1386" s="4" t="s">
        <v>3951</v>
      </c>
      <c r="K1386" s="4" t="s">
        <v>4409</v>
      </c>
      <c r="L1386" s="5">
        <v>12241</v>
      </c>
    </row>
    <row r="1387" spans="1:12" x14ac:dyDescent="0.25">
      <c r="A1387" s="3" t="s">
        <v>1057</v>
      </c>
      <c r="B1387" s="4" t="s">
        <v>3883</v>
      </c>
      <c r="C1387" s="4" t="s">
        <v>25</v>
      </c>
      <c r="D1387" s="4" t="s">
        <v>26</v>
      </c>
      <c r="E1387" s="5" t="str">
        <f>"9051589"</f>
        <v>9051589</v>
      </c>
      <c r="F1387" s="3" t="s">
        <v>4410</v>
      </c>
      <c r="G1387" s="5">
        <v>2105776530</v>
      </c>
      <c r="H1387" s="4" t="s">
        <v>4411</v>
      </c>
      <c r="I1387" s="4" t="s">
        <v>3886</v>
      </c>
      <c r="J1387" s="4" t="s">
        <v>3887</v>
      </c>
      <c r="K1387" s="4" t="s">
        <v>4412</v>
      </c>
      <c r="L1387" s="5">
        <v>12133</v>
      </c>
    </row>
    <row r="1388" spans="1:12" x14ac:dyDescent="0.25">
      <c r="A1388" s="3" t="s">
        <v>1057</v>
      </c>
      <c r="B1388" s="4" t="s">
        <v>3883</v>
      </c>
      <c r="C1388" s="4" t="s">
        <v>25</v>
      </c>
      <c r="D1388" s="4" t="s">
        <v>26</v>
      </c>
      <c r="E1388" s="5" t="str">
        <f>"9051425"</f>
        <v>9051425</v>
      </c>
      <c r="F1388" s="3" t="s">
        <v>4413</v>
      </c>
      <c r="G1388" s="5">
        <v>2105019666</v>
      </c>
      <c r="H1388" s="4" t="s">
        <v>4414</v>
      </c>
      <c r="I1388" s="4" t="s">
        <v>3891</v>
      </c>
      <c r="J1388" s="4" t="s">
        <v>4014</v>
      </c>
      <c r="K1388" s="4" t="s">
        <v>4415</v>
      </c>
      <c r="L1388" s="5">
        <v>13231</v>
      </c>
    </row>
    <row r="1389" spans="1:12" ht="30" x14ac:dyDescent="0.25">
      <c r="A1389" s="3" t="s">
        <v>1057</v>
      </c>
      <c r="B1389" s="4" t="s">
        <v>3883</v>
      </c>
      <c r="C1389" s="4" t="s">
        <v>14</v>
      </c>
      <c r="D1389" s="4" t="s">
        <v>15</v>
      </c>
      <c r="E1389" s="5" t="str">
        <f>"9050416"</f>
        <v>9050416</v>
      </c>
      <c r="F1389" s="3" t="s">
        <v>4416</v>
      </c>
      <c r="G1389" s="5">
        <v>2102613219</v>
      </c>
      <c r="H1389" s="4" t="s">
        <v>4417</v>
      </c>
      <c r="I1389" s="4" t="s">
        <v>3914</v>
      </c>
      <c r="J1389" s="4" t="s">
        <v>3915</v>
      </c>
      <c r="K1389" s="4" t="s">
        <v>4418</v>
      </c>
      <c r="L1389" s="5">
        <v>13561</v>
      </c>
    </row>
    <row r="1390" spans="1:12" x14ac:dyDescent="0.25">
      <c r="A1390" s="3" t="s">
        <v>1057</v>
      </c>
      <c r="B1390" s="4" t="s">
        <v>3883</v>
      </c>
      <c r="C1390" s="4" t="s">
        <v>25</v>
      </c>
      <c r="D1390" s="4" t="s">
        <v>26</v>
      </c>
      <c r="E1390" s="5" t="str">
        <f>"9051458"</f>
        <v>9051458</v>
      </c>
      <c r="F1390" s="3" t="s">
        <v>4419</v>
      </c>
      <c r="G1390" s="5">
        <v>2105019660</v>
      </c>
      <c r="H1390" s="4" t="s">
        <v>4420</v>
      </c>
      <c r="I1390" s="4" t="s">
        <v>3891</v>
      </c>
      <c r="J1390" s="4" t="s">
        <v>3892</v>
      </c>
      <c r="K1390" s="4" t="s">
        <v>4399</v>
      </c>
      <c r="L1390" s="5">
        <v>13231</v>
      </c>
    </row>
    <row r="1391" spans="1:12" x14ac:dyDescent="0.25">
      <c r="A1391" s="3" t="s">
        <v>1057</v>
      </c>
      <c r="B1391" s="4" t="s">
        <v>3883</v>
      </c>
      <c r="C1391" s="4" t="s">
        <v>25</v>
      </c>
      <c r="D1391" s="4" t="s">
        <v>26</v>
      </c>
      <c r="E1391" s="5" t="str">
        <f>"9050408"</f>
        <v>9050408</v>
      </c>
      <c r="F1391" s="3" t="s">
        <v>4421</v>
      </c>
      <c r="G1391" s="5">
        <v>2105737936</v>
      </c>
      <c r="H1391" s="4" t="s">
        <v>4422</v>
      </c>
      <c r="I1391" s="4" t="s">
        <v>3886</v>
      </c>
      <c r="J1391" s="4" t="s">
        <v>3887</v>
      </c>
      <c r="K1391" s="4" t="s">
        <v>4251</v>
      </c>
      <c r="L1391" s="5">
        <v>12132</v>
      </c>
    </row>
    <row r="1392" spans="1:12" x14ac:dyDescent="0.25">
      <c r="A1392" s="3" t="s">
        <v>1057</v>
      </c>
      <c r="B1392" s="4" t="s">
        <v>3883</v>
      </c>
      <c r="C1392" s="4" t="s">
        <v>14</v>
      </c>
      <c r="D1392" s="4" t="s">
        <v>15</v>
      </c>
      <c r="E1392" s="5" t="str">
        <f>"9051779"</f>
        <v>9051779</v>
      </c>
      <c r="F1392" s="3" t="s">
        <v>4423</v>
      </c>
      <c r="G1392" s="5">
        <v>2102380737</v>
      </c>
      <c r="H1392" s="4" t="s">
        <v>4424</v>
      </c>
      <c r="I1392" s="4" t="s">
        <v>3914</v>
      </c>
      <c r="J1392" s="4" t="s">
        <v>4182</v>
      </c>
      <c r="K1392" s="4" t="s">
        <v>4425</v>
      </c>
      <c r="L1392" s="5">
        <v>13451</v>
      </c>
    </row>
    <row r="1393" spans="1:12" x14ac:dyDescent="0.25">
      <c r="A1393" s="3" t="s">
        <v>1057</v>
      </c>
      <c r="B1393" s="4" t="s">
        <v>3883</v>
      </c>
      <c r="C1393" s="4" t="s">
        <v>25</v>
      </c>
      <c r="D1393" s="4" t="s">
        <v>26</v>
      </c>
      <c r="E1393" s="5" t="str">
        <f>"9050770"</f>
        <v>9050770</v>
      </c>
      <c r="F1393" s="3" t="s">
        <v>4426</v>
      </c>
      <c r="G1393" s="5">
        <v>2105029070</v>
      </c>
      <c r="H1393" s="4" t="s">
        <v>4427</v>
      </c>
      <c r="I1393" s="4" t="s">
        <v>3891</v>
      </c>
      <c r="J1393" s="4" t="s">
        <v>4014</v>
      </c>
      <c r="K1393" s="4" t="s">
        <v>4428</v>
      </c>
      <c r="L1393" s="5">
        <v>13231</v>
      </c>
    </row>
    <row r="1394" spans="1:12" x14ac:dyDescent="0.25">
      <c r="A1394" s="3" t="s">
        <v>1057</v>
      </c>
      <c r="B1394" s="4" t="s">
        <v>3883</v>
      </c>
      <c r="C1394" s="4" t="s">
        <v>14</v>
      </c>
      <c r="D1394" s="4" t="s">
        <v>15</v>
      </c>
      <c r="E1394" s="5" t="str">
        <f>"9050427"</f>
        <v>9050427</v>
      </c>
      <c r="F1394" s="3" t="s">
        <v>4429</v>
      </c>
      <c r="G1394" s="5">
        <v>2105023440</v>
      </c>
      <c r="H1394" s="4" t="s">
        <v>4430</v>
      </c>
      <c r="I1394" s="4" t="s">
        <v>3958</v>
      </c>
      <c r="J1394" s="4" t="s">
        <v>3981</v>
      </c>
      <c r="K1394" s="4" t="s">
        <v>4431</v>
      </c>
      <c r="L1394" s="5">
        <v>13123</v>
      </c>
    </row>
    <row r="1395" spans="1:12" x14ac:dyDescent="0.25">
      <c r="A1395" s="3" t="s">
        <v>1057</v>
      </c>
      <c r="B1395" s="4" t="s">
        <v>3883</v>
      </c>
      <c r="C1395" s="4" t="s">
        <v>25</v>
      </c>
      <c r="D1395" s="4" t="s">
        <v>26</v>
      </c>
      <c r="E1395" s="5" t="str">
        <f>"9051406"</f>
        <v>9051406</v>
      </c>
      <c r="F1395" s="3" t="s">
        <v>4432</v>
      </c>
      <c r="G1395" s="5">
        <v>2105771417</v>
      </c>
      <c r="H1395" s="4" t="s">
        <v>4433</v>
      </c>
      <c r="I1395" s="4" t="s">
        <v>3886</v>
      </c>
      <c r="J1395" s="4" t="s">
        <v>3887</v>
      </c>
      <c r="K1395" s="4" t="s">
        <v>4434</v>
      </c>
      <c r="L1395" s="5">
        <v>12134</v>
      </c>
    </row>
    <row r="1396" spans="1:12" x14ac:dyDescent="0.25">
      <c r="A1396" s="3" t="s">
        <v>1057</v>
      </c>
      <c r="B1396" s="4" t="s">
        <v>3883</v>
      </c>
      <c r="C1396" s="4" t="s">
        <v>25</v>
      </c>
      <c r="D1396" s="4" t="s">
        <v>26</v>
      </c>
      <c r="E1396" s="5" t="str">
        <f>"9051054"</f>
        <v>9051054</v>
      </c>
      <c r="F1396" s="3" t="s">
        <v>4435</v>
      </c>
      <c r="G1396" s="5">
        <v>2105777633</v>
      </c>
      <c r="H1396" s="4" t="s">
        <v>4436</v>
      </c>
      <c r="I1396" s="4" t="s">
        <v>3886</v>
      </c>
      <c r="J1396" s="4" t="s">
        <v>3887</v>
      </c>
      <c r="K1396" s="4" t="s">
        <v>4437</v>
      </c>
      <c r="L1396" s="5">
        <v>12135</v>
      </c>
    </row>
    <row r="1397" spans="1:12" x14ac:dyDescent="0.25">
      <c r="A1397" s="3" t="s">
        <v>1057</v>
      </c>
      <c r="B1397" s="4" t="s">
        <v>3883</v>
      </c>
      <c r="C1397" s="4" t="s">
        <v>14</v>
      </c>
      <c r="D1397" s="4" t="s">
        <v>15</v>
      </c>
      <c r="E1397" s="5" t="str">
        <f>"9050387"</f>
        <v>9050387</v>
      </c>
      <c r="F1397" s="3" t="s">
        <v>4438</v>
      </c>
      <c r="G1397" s="5">
        <v>2105719229</v>
      </c>
      <c r="H1397" s="4" t="s">
        <v>4439</v>
      </c>
      <c r="I1397" s="4" t="s">
        <v>3886</v>
      </c>
      <c r="J1397" s="4" t="s">
        <v>3887</v>
      </c>
      <c r="K1397" s="4" t="s">
        <v>3899</v>
      </c>
      <c r="L1397" s="5">
        <v>12137</v>
      </c>
    </row>
    <row r="1398" spans="1:12" x14ac:dyDescent="0.25">
      <c r="A1398" s="3" t="s">
        <v>1057</v>
      </c>
      <c r="B1398" s="4" t="s">
        <v>3883</v>
      </c>
      <c r="C1398" s="4" t="s">
        <v>25</v>
      </c>
      <c r="D1398" s="4" t="s">
        <v>26</v>
      </c>
      <c r="E1398" s="5" t="str">
        <f>"9051064"</f>
        <v>9051064</v>
      </c>
      <c r="F1398" s="3" t="s">
        <v>4440</v>
      </c>
      <c r="G1398" s="5">
        <v>2102624956</v>
      </c>
      <c r="H1398" s="4" t="s">
        <v>4441</v>
      </c>
      <c r="I1398" s="4" t="s">
        <v>3958</v>
      </c>
      <c r="J1398" s="4" t="s">
        <v>3959</v>
      </c>
      <c r="K1398" s="4" t="s">
        <v>4442</v>
      </c>
      <c r="L1398" s="5">
        <v>13122</v>
      </c>
    </row>
    <row r="1399" spans="1:12" x14ac:dyDescent="0.25">
      <c r="A1399" s="3" t="s">
        <v>1057</v>
      </c>
      <c r="B1399" s="4" t="s">
        <v>3883</v>
      </c>
      <c r="C1399" s="4" t="s">
        <v>25</v>
      </c>
      <c r="D1399" s="4" t="s">
        <v>26</v>
      </c>
      <c r="E1399" s="5" t="str">
        <f>"9520643"</f>
        <v>9520643</v>
      </c>
      <c r="F1399" s="3" t="s">
        <v>4443</v>
      </c>
      <c r="G1399" s="5">
        <v>2105062082</v>
      </c>
      <c r="H1399" s="4" t="s">
        <v>4444</v>
      </c>
      <c r="I1399" s="4" t="s">
        <v>3891</v>
      </c>
      <c r="J1399" s="4" t="s">
        <v>4014</v>
      </c>
      <c r="K1399" s="4" t="s">
        <v>4445</v>
      </c>
      <c r="L1399" s="5">
        <v>13231</v>
      </c>
    </row>
    <row r="1400" spans="1:12" x14ac:dyDescent="0.25">
      <c r="A1400" s="3" t="s">
        <v>1057</v>
      </c>
      <c r="B1400" s="4" t="s">
        <v>3883</v>
      </c>
      <c r="C1400" s="4" t="s">
        <v>25</v>
      </c>
      <c r="D1400" s="4" t="s">
        <v>26</v>
      </c>
      <c r="E1400" s="5" t="str">
        <f>"9051063"</f>
        <v>9051063</v>
      </c>
      <c r="F1400" s="3" t="s">
        <v>4446</v>
      </c>
      <c r="G1400" s="5">
        <v>2105772352</v>
      </c>
      <c r="H1400" s="4" t="s">
        <v>4447</v>
      </c>
      <c r="I1400" s="4" t="s">
        <v>3958</v>
      </c>
      <c r="J1400" s="4" t="s">
        <v>3981</v>
      </c>
      <c r="K1400" s="4" t="s">
        <v>4113</v>
      </c>
      <c r="L1400" s="5">
        <v>13121</v>
      </c>
    </row>
    <row r="1401" spans="1:12" x14ac:dyDescent="0.25">
      <c r="A1401" s="3" t="s">
        <v>1057</v>
      </c>
      <c r="B1401" s="4" t="s">
        <v>3883</v>
      </c>
      <c r="C1401" s="4" t="s">
        <v>14</v>
      </c>
      <c r="D1401" s="4" t="s">
        <v>15</v>
      </c>
      <c r="E1401" s="5" t="str">
        <f>"9051751"</f>
        <v>9051751</v>
      </c>
      <c r="F1401" s="3" t="s">
        <v>4448</v>
      </c>
      <c r="G1401" s="5">
        <v>2102626256</v>
      </c>
      <c r="H1401" s="4" t="s">
        <v>4449</v>
      </c>
      <c r="I1401" s="4" t="s">
        <v>3958</v>
      </c>
      <c r="J1401" s="4" t="s">
        <v>3981</v>
      </c>
      <c r="K1401" s="4" t="s">
        <v>4450</v>
      </c>
      <c r="L1401" s="5">
        <v>13122</v>
      </c>
    </row>
    <row r="1402" spans="1:12" x14ac:dyDescent="0.25">
      <c r="A1402" s="3" t="s">
        <v>1057</v>
      </c>
      <c r="B1402" s="4" t="s">
        <v>3883</v>
      </c>
      <c r="C1402" s="4" t="s">
        <v>14</v>
      </c>
      <c r="D1402" s="4" t="s">
        <v>15</v>
      </c>
      <c r="E1402" s="5" t="str">
        <f>"9051149"</f>
        <v>9051149</v>
      </c>
      <c r="F1402" s="3" t="s">
        <v>4451</v>
      </c>
      <c r="G1402" s="5">
        <v>2102313666</v>
      </c>
      <c r="H1402" s="4" t="s">
        <v>4452</v>
      </c>
      <c r="I1402" s="4" t="s">
        <v>3914</v>
      </c>
      <c r="J1402" s="4" t="s">
        <v>4182</v>
      </c>
      <c r="K1402" s="4" t="s">
        <v>4453</v>
      </c>
      <c r="L1402" s="5">
        <v>13451</v>
      </c>
    </row>
    <row r="1403" spans="1:12" x14ac:dyDescent="0.25">
      <c r="A1403" s="3" t="s">
        <v>1057</v>
      </c>
      <c r="B1403" s="4" t="s">
        <v>3883</v>
      </c>
      <c r="C1403" s="4" t="s">
        <v>14</v>
      </c>
      <c r="D1403" s="4" t="s">
        <v>15</v>
      </c>
      <c r="E1403" s="5" t="str">
        <f>"9051131"</f>
        <v>9051131</v>
      </c>
      <c r="F1403" s="3" t="s">
        <v>4454</v>
      </c>
      <c r="G1403" s="5">
        <v>2105716958</v>
      </c>
      <c r="H1403" s="4" t="s">
        <v>4455</v>
      </c>
      <c r="I1403" s="4" t="s">
        <v>3886</v>
      </c>
      <c r="J1403" s="4" t="s">
        <v>3887</v>
      </c>
      <c r="K1403" s="4" t="s">
        <v>4456</v>
      </c>
      <c r="L1403" s="5">
        <v>12133</v>
      </c>
    </row>
    <row r="1404" spans="1:12" x14ac:dyDescent="0.25">
      <c r="A1404" s="3" t="s">
        <v>1057</v>
      </c>
      <c r="B1404" s="4" t="s">
        <v>3883</v>
      </c>
      <c r="C1404" s="4" t="s">
        <v>14</v>
      </c>
      <c r="D1404" s="4" t="s">
        <v>15</v>
      </c>
      <c r="E1404" s="5" t="str">
        <f>"9050380"</f>
        <v>9050380</v>
      </c>
      <c r="F1404" s="3" t="s">
        <v>4457</v>
      </c>
      <c r="G1404" s="5">
        <v>2105712424</v>
      </c>
      <c r="H1404" s="4" t="s">
        <v>4458</v>
      </c>
      <c r="I1404" s="4" t="s">
        <v>3886</v>
      </c>
      <c r="J1404" s="4" t="s">
        <v>3887</v>
      </c>
      <c r="K1404" s="4" t="s">
        <v>4374</v>
      </c>
      <c r="L1404" s="5">
        <v>12133</v>
      </c>
    </row>
    <row r="1405" spans="1:12" x14ac:dyDescent="0.25">
      <c r="A1405" s="3" t="s">
        <v>1057</v>
      </c>
      <c r="B1405" s="4" t="s">
        <v>3883</v>
      </c>
      <c r="C1405" s="4" t="s">
        <v>25</v>
      </c>
      <c r="D1405" s="4" t="s">
        <v>26</v>
      </c>
      <c r="E1405" s="5" t="str">
        <f>"9051304"</f>
        <v>9051304</v>
      </c>
      <c r="F1405" s="3" t="s">
        <v>4459</v>
      </c>
      <c r="G1405" s="5">
        <v>2105989492</v>
      </c>
      <c r="H1405" s="4" t="s">
        <v>4460</v>
      </c>
      <c r="I1405" s="4" t="s">
        <v>3886</v>
      </c>
      <c r="J1405" s="4" t="s">
        <v>3887</v>
      </c>
      <c r="K1405" s="4" t="s">
        <v>4055</v>
      </c>
      <c r="L1405" s="5">
        <v>12131</v>
      </c>
    </row>
    <row r="1406" spans="1:12" x14ac:dyDescent="0.25">
      <c r="A1406" s="3" t="s">
        <v>1057</v>
      </c>
      <c r="B1406" s="4" t="s">
        <v>3883</v>
      </c>
      <c r="C1406" s="4" t="s">
        <v>14</v>
      </c>
      <c r="D1406" s="4" t="s">
        <v>15</v>
      </c>
      <c r="E1406" s="5" t="str">
        <f>"9050678"</f>
        <v>9050678</v>
      </c>
      <c r="F1406" s="3" t="s">
        <v>4461</v>
      </c>
      <c r="G1406" s="5">
        <v>2105017021</v>
      </c>
      <c r="H1406" s="4" t="s">
        <v>4462</v>
      </c>
      <c r="I1406" s="4" t="s">
        <v>3886</v>
      </c>
      <c r="J1406" s="4" t="s">
        <v>3887</v>
      </c>
      <c r="K1406" s="4" t="s">
        <v>4463</v>
      </c>
      <c r="L1406" s="5">
        <v>12137</v>
      </c>
    </row>
    <row r="1407" spans="1:12" x14ac:dyDescent="0.25">
      <c r="A1407" s="3" t="s">
        <v>1057</v>
      </c>
      <c r="B1407" s="4" t="s">
        <v>3883</v>
      </c>
      <c r="C1407" s="4" t="s">
        <v>14</v>
      </c>
      <c r="D1407" s="4" t="s">
        <v>15</v>
      </c>
      <c r="E1407" s="5" t="str">
        <f>"9050384"</f>
        <v>9050384</v>
      </c>
      <c r="F1407" s="3" t="s">
        <v>4464</v>
      </c>
      <c r="G1407" s="5">
        <v>2105713301</v>
      </c>
      <c r="H1407" s="4" t="s">
        <v>4465</v>
      </c>
      <c r="I1407" s="4" t="s">
        <v>3886</v>
      </c>
      <c r="J1407" s="4" t="s">
        <v>3887</v>
      </c>
      <c r="K1407" s="4" t="s">
        <v>4466</v>
      </c>
      <c r="L1407" s="5">
        <v>12135</v>
      </c>
    </row>
    <row r="1408" spans="1:12" x14ac:dyDescent="0.25">
      <c r="A1408" s="3" t="s">
        <v>1057</v>
      </c>
      <c r="B1408" s="4" t="s">
        <v>3883</v>
      </c>
      <c r="C1408" s="4" t="s">
        <v>14</v>
      </c>
      <c r="D1408" s="4" t="s">
        <v>15</v>
      </c>
      <c r="E1408" s="5" t="str">
        <f>"9050389"</f>
        <v>9050389</v>
      </c>
      <c r="F1408" s="3" t="s">
        <v>4467</v>
      </c>
      <c r="G1408" s="5">
        <v>2105712330</v>
      </c>
      <c r="H1408" s="4" t="s">
        <v>4468</v>
      </c>
      <c r="I1408" s="4" t="s">
        <v>3886</v>
      </c>
      <c r="J1408" s="4" t="s">
        <v>3887</v>
      </c>
      <c r="K1408" s="4" t="s">
        <v>4469</v>
      </c>
      <c r="L1408" s="5">
        <v>12134</v>
      </c>
    </row>
    <row r="1409" spans="1:12" x14ac:dyDescent="0.25">
      <c r="A1409" s="3" t="s">
        <v>1057</v>
      </c>
      <c r="B1409" s="4" t="s">
        <v>3883</v>
      </c>
      <c r="C1409" s="4" t="s">
        <v>14</v>
      </c>
      <c r="D1409" s="4" t="s">
        <v>15</v>
      </c>
      <c r="E1409" s="5" t="str">
        <f>"9050400"</f>
        <v>9050400</v>
      </c>
      <c r="F1409" s="3" t="s">
        <v>4470</v>
      </c>
      <c r="G1409" s="5">
        <v>2105711579</v>
      </c>
      <c r="H1409" s="4" t="s">
        <v>4471</v>
      </c>
      <c r="I1409" s="4" t="s">
        <v>3886</v>
      </c>
      <c r="J1409" s="4" t="s">
        <v>3887</v>
      </c>
      <c r="K1409" s="4" t="s">
        <v>4472</v>
      </c>
      <c r="L1409" s="5">
        <v>12131</v>
      </c>
    </row>
    <row r="1410" spans="1:12" x14ac:dyDescent="0.25">
      <c r="A1410" s="3" t="s">
        <v>1057</v>
      </c>
      <c r="B1410" s="4" t="s">
        <v>3883</v>
      </c>
      <c r="C1410" s="4" t="s">
        <v>25</v>
      </c>
      <c r="D1410" s="4" t="s">
        <v>26</v>
      </c>
      <c r="E1410" s="5" t="str">
        <f>"9050765"</f>
        <v>9050765</v>
      </c>
      <c r="F1410" s="3" t="s">
        <v>4473</v>
      </c>
      <c r="G1410" s="5">
        <v>2105773278</v>
      </c>
      <c r="H1410" s="4" t="s">
        <v>4474</v>
      </c>
      <c r="I1410" s="4" t="s">
        <v>3886</v>
      </c>
      <c r="J1410" s="4" t="s">
        <v>3887</v>
      </c>
      <c r="K1410" s="4" t="s">
        <v>4122</v>
      </c>
      <c r="L1410" s="5">
        <v>12137</v>
      </c>
    </row>
    <row r="1411" spans="1:12" x14ac:dyDescent="0.25">
      <c r="A1411" s="3" t="s">
        <v>1057</v>
      </c>
      <c r="B1411" s="4" t="s">
        <v>3883</v>
      </c>
      <c r="C1411" s="4" t="s">
        <v>14</v>
      </c>
      <c r="D1411" s="4" t="s">
        <v>15</v>
      </c>
      <c r="E1411" s="5" t="str">
        <f>"9050901"</f>
        <v>9050901</v>
      </c>
      <c r="F1411" s="3" t="s">
        <v>4475</v>
      </c>
      <c r="G1411" s="5">
        <v>2102634180</v>
      </c>
      <c r="H1411" s="4" t="s">
        <v>4476</v>
      </c>
      <c r="I1411" s="4" t="s">
        <v>3958</v>
      </c>
      <c r="J1411" s="4" t="s">
        <v>3981</v>
      </c>
      <c r="K1411" s="4" t="s">
        <v>4477</v>
      </c>
      <c r="L1411" s="5">
        <v>13122</v>
      </c>
    </row>
    <row r="1412" spans="1:12" x14ac:dyDescent="0.25">
      <c r="A1412" s="3" t="s">
        <v>1057</v>
      </c>
      <c r="B1412" s="4" t="s">
        <v>3883</v>
      </c>
      <c r="C1412" s="4" t="s">
        <v>14</v>
      </c>
      <c r="D1412" s="4" t="s">
        <v>15</v>
      </c>
      <c r="E1412" s="5" t="str">
        <f>"9050413"</f>
        <v>9050413</v>
      </c>
      <c r="F1412" s="3" t="s">
        <v>4478</v>
      </c>
      <c r="G1412" s="5">
        <v>2102611479</v>
      </c>
      <c r="H1412" s="4" t="s">
        <v>4479</v>
      </c>
      <c r="I1412" s="4" t="s">
        <v>3914</v>
      </c>
      <c r="J1412" s="4" t="s">
        <v>3915</v>
      </c>
      <c r="K1412" s="4" t="s">
        <v>4480</v>
      </c>
      <c r="L1412" s="5">
        <v>13561</v>
      </c>
    </row>
    <row r="1413" spans="1:12" x14ac:dyDescent="0.25">
      <c r="A1413" s="3" t="s">
        <v>1057</v>
      </c>
      <c r="B1413" s="4" t="s">
        <v>3883</v>
      </c>
      <c r="C1413" s="4" t="s">
        <v>14</v>
      </c>
      <c r="D1413" s="4" t="s">
        <v>15</v>
      </c>
      <c r="E1413" s="5" t="str">
        <f>"9050367"</f>
        <v>9050367</v>
      </c>
      <c r="F1413" s="3" t="s">
        <v>4481</v>
      </c>
      <c r="G1413" s="5">
        <v>2105315835</v>
      </c>
      <c r="H1413" s="4" t="s">
        <v>4482</v>
      </c>
      <c r="I1413" s="4" t="s">
        <v>3951</v>
      </c>
      <c r="J1413" s="4" t="s">
        <v>3951</v>
      </c>
      <c r="K1413" s="4" t="s">
        <v>4483</v>
      </c>
      <c r="L1413" s="5">
        <v>12244</v>
      </c>
    </row>
    <row r="1414" spans="1:12" x14ac:dyDescent="0.25">
      <c r="A1414" s="3" t="s">
        <v>1057</v>
      </c>
      <c r="B1414" s="4" t="s">
        <v>3883</v>
      </c>
      <c r="C1414" s="4" t="s">
        <v>25</v>
      </c>
      <c r="D1414" s="4" t="s">
        <v>26</v>
      </c>
      <c r="E1414" s="5" t="str">
        <f>"9051229"</f>
        <v>9051229</v>
      </c>
      <c r="F1414" s="3" t="s">
        <v>4484</v>
      </c>
      <c r="G1414" s="5">
        <v>2105753292</v>
      </c>
      <c r="H1414" s="4" t="s">
        <v>4485</v>
      </c>
      <c r="I1414" s="4" t="s">
        <v>3886</v>
      </c>
      <c r="J1414" s="4" t="s">
        <v>3887</v>
      </c>
      <c r="K1414" s="4" t="s">
        <v>4469</v>
      </c>
      <c r="L1414" s="5">
        <v>12134</v>
      </c>
    </row>
    <row r="1415" spans="1:12" x14ac:dyDescent="0.25">
      <c r="A1415" s="3" t="s">
        <v>1057</v>
      </c>
      <c r="B1415" s="4" t="s">
        <v>3883</v>
      </c>
      <c r="C1415" s="4" t="s">
        <v>14</v>
      </c>
      <c r="D1415" s="4" t="s">
        <v>15</v>
      </c>
      <c r="E1415" s="5" t="str">
        <f>"9050381"</f>
        <v>9050381</v>
      </c>
      <c r="F1415" s="3" t="s">
        <v>4486</v>
      </c>
      <c r="G1415" s="5">
        <v>2105712669</v>
      </c>
      <c r="H1415" s="4" t="s">
        <v>4487</v>
      </c>
      <c r="I1415" s="4" t="s">
        <v>3886</v>
      </c>
      <c r="J1415" s="4" t="s">
        <v>3887</v>
      </c>
      <c r="K1415" s="4" t="s">
        <v>4488</v>
      </c>
      <c r="L1415" s="5">
        <v>12132</v>
      </c>
    </row>
    <row r="1416" spans="1:12" x14ac:dyDescent="0.25">
      <c r="A1416" s="3" t="s">
        <v>1057</v>
      </c>
      <c r="B1416" s="4" t="s">
        <v>3883</v>
      </c>
      <c r="C1416" s="4" t="s">
        <v>14</v>
      </c>
      <c r="D1416" s="4" t="s">
        <v>15</v>
      </c>
      <c r="E1416" s="5" t="str">
        <f>"9050424"</f>
        <v>9050424</v>
      </c>
      <c r="F1416" s="3" t="s">
        <v>4489</v>
      </c>
      <c r="G1416" s="5">
        <v>2102611633</v>
      </c>
      <c r="H1416" s="4" t="s">
        <v>4490</v>
      </c>
      <c r="I1416" s="4" t="s">
        <v>3958</v>
      </c>
      <c r="J1416" s="4" t="s">
        <v>3981</v>
      </c>
      <c r="K1416" s="4" t="s">
        <v>4491</v>
      </c>
      <c r="L1416" s="5">
        <v>13122</v>
      </c>
    </row>
    <row r="1417" spans="1:12" x14ac:dyDescent="0.25">
      <c r="A1417" s="3" t="s">
        <v>1057</v>
      </c>
      <c r="B1417" s="4" t="s">
        <v>3883</v>
      </c>
      <c r="C1417" s="4" t="s">
        <v>14</v>
      </c>
      <c r="D1417" s="4" t="s">
        <v>15</v>
      </c>
      <c r="E1417" s="5" t="str">
        <f>"9051750"</f>
        <v>9051750</v>
      </c>
      <c r="F1417" s="3" t="s">
        <v>4492</v>
      </c>
      <c r="G1417" s="5">
        <v>2105011000</v>
      </c>
      <c r="H1417" s="4" t="s">
        <v>4493</v>
      </c>
      <c r="I1417" s="4" t="s">
        <v>3958</v>
      </c>
      <c r="J1417" s="4" t="s">
        <v>3981</v>
      </c>
      <c r="K1417" s="4" t="s">
        <v>4494</v>
      </c>
      <c r="L1417" s="5">
        <v>13123</v>
      </c>
    </row>
    <row r="1418" spans="1:12" x14ac:dyDescent="0.25">
      <c r="A1418" s="3" t="s">
        <v>1057</v>
      </c>
      <c r="B1418" s="4" t="s">
        <v>3883</v>
      </c>
      <c r="C1418" s="4" t="s">
        <v>25</v>
      </c>
      <c r="D1418" s="4" t="s">
        <v>26</v>
      </c>
      <c r="E1418" s="5" t="str">
        <f>"9051058"</f>
        <v>9051058</v>
      </c>
      <c r="F1418" s="3" t="s">
        <v>4495</v>
      </c>
      <c r="G1418" s="5">
        <v>2105739307</v>
      </c>
      <c r="H1418" s="4" t="s">
        <v>4496</v>
      </c>
      <c r="I1418" s="4" t="s">
        <v>3886</v>
      </c>
      <c r="J1418" s="4" t="s">
        <v>3887</v>
      </c>
      <c r="K1418" s="4" t="s">
        <v>4497</v>
      </c>
      <c r="L1418" s="5">
        <v>12136</v>
      </c>
    </row>
    <row r="1419" spans="1:12" x14ac:dyDescent="0.25">
      <c r="A1419" s="3" t="s">
        <v>1057</v>
      </c>
      <c r="B1419" s="4" t="s">
        <v>3883</v>
      </c>
      <c r="C1419" s="4" t="s">
        <v>14</v>
      </c>
      <c r="D1419" s="4" t="s">
        <v>15</v>
      </c>
      <c r="E1419" s="5" t="str">
        <f>"9050418"</f>
        <v>9050418</v>
      </c>
      <c r="F1419" s="3" t="s">
        <v>4498</v>
      </c>
      <c r="G1419" s="5">
        <v>2108329376</v>
      </c>
      <c r="H1419" s="4" t="s">
        <v>4499</v>
      </c>
      <c r="I1419" s="4" t="s">
        <v>3914</v>
      </c>
      <c r="J1419" s="4" t="s">
        <v>3915</v>
      </c>
      <c r="K1419" s="4" t="s">
        <v>4500</v>
      </c>
      <c r="L1419" s="5">
        <v>13561</v>
      </c>
    </row>
    <row r="1420" spans="1:12" x14ac:dyDescent="0.25">
      <c r="A1420" s="3" t="s">
        <v>1057</v>
      </c>
      <c r="B1420" s="4" t="s">
        <v>3883</v>
      </c>
      <c r="C1420" s="4" t="s">
        <v>14</v>
      </c>
      <c r="D1420" s="4" t="s">
        <v>15</v>
      </c>
      <c r="E1420" s="5" t="str">
        <f>"9050432"</f>
        <v>9050432</v>
      </c>
      <c r="F1420" s="3" t="s">
        <v>4501</v>
      </c>
      <c r="G1420" s="5">
        <v>2105028035</v>
      </c>
      <c r="H1420" s="4" t="s">
        <v>4502</v>
      </c>
      <c r="I1420" s="4" t="s">
        <v>3958</v>
      </c>
      <c r="J1420" s="4" t="s">
        <v>3981</v>
      </c>
      <c r="K1420" s="4" t="s">
        <v>4503</v>
      </c>
      <c r="L1420" s="5">
        <v>13121</v>
      </c>
    </row>
    <row r="1421" spans="1:12" x14ac:dyDescent="0.25">
      <c r="A1421" s="3" t="s">
        <v>1057</v>
      </c>
      <c r="B1421" s="4" t="s">
        <v>3883</v>
      </c>
      <c r="C1421" s="4" t="s">
        <v>14</v>
      </c>
      <c r="D1421" s="4" t="s">
        <v>15</v>
      </c>
      <c r="E1421" s="5" t="str">
        <f>"9050415"</f>
        <v>9050415</v>
      </c>
      <c r="F1421" s="3" t="s">
        <v>4504</v>
      </c>
      <c r="G1421" s="5">
        <v>2102611305</v>
      </c>
      <c r="H1421" s="4" t="s">
        <v>4505</v>
      </c>
      <c r="I1421" s="4" t="s">
        <v>3914</v>
      </c>
      <c r="J1421" s="4" t="s">
        <v>4506</v>
      </c>
      <c r="K1421" s="4" t="s">
        <v>4507</v>
      </c>
      <c r="L1421" s="5">
        <v>13562</v>
      </c>
    </row>
    <row r="1422" spans="1:12" x14ac:dyDescent="0.25">
      <c r="A1422" s="3" t="s">
        <v>1057</v>
      </c>
      <c r="B1422" s="4" t="s">
        <v>3883</v>
      </c>
      <c r="C1422" s="4" t="s">
        <v>14</v>
      </c>
      <c r="D1422" s="4" t="s">
        <v>15</v>
      </c>
      <c r="E1422" s="5" t="str">
        <f>"9051747"</f>
        <v>9051747</v>
      </c>
      <c r="F1422" s="3" t="s">
        <v>4508</v>
      </c>
      <c r="G1422" s="5">
        <v>2105759750</v>
      </c>
      <c r="H1422" s="4" t="s">
        <v>4509</v>
      </c>
      <c r="I1422" s="4" t="s">
        <v>3886</v>
      </c>
      <c r="J1422" s="4" t="s">
        <v>3887</v>
      </c>
      <c r="K1422" s="4" t="s">
        <v>4510</v>
      </c>
      <c r="L1422" s="5">
        <v>12133</v>
      </c>
    </row>
    <row r="1423" spans="1:12" x14ac:dyDescent="0.25">
      <c r="A1423" s="3" t="s">
        <v>1057</v>
      </c>
      <c r="B1423" s="4" t="s">
        <v>3883</v>
      </c>
      <c r="C1423" s="4" t="s">
        <v>14</v>
      </c>
      <c r="D1423" s="4" t="s">
        <v>15</v>
      </c>
      <c r="E1423" s="5" t="str">
        <f>"9050423"</f>
        <v>9050423</v>
      </c>
      <c r="F1423" s="3" t="s">
        <v>4511</v>
      </c>
      <c r="G1423" s="5">
        <v>2102611930</v>
      </c>
      <c r="H1423" s="4" t="s">
        <v>4512</v>
      </c>
      <c r="I1423" s="4" t="s">
        <v>3958</v>
      </c>
      <c r="J1423" s="4" t="s">
        <v>3981</v>
      </c>
      <c r="K1423" s="4" t="s">
        <v>4513</v>
      </c>
      <c r="L1423" s="5">
        <v>13122</v>
      </c>
    </row>
    <row r="1424" spans="1:12" x14ac:dyDescent="0.25">
      <c r="A1424" s="3" t="s">
        <v>1057</v>
      </c>
      <c r="B1424" s="4" t="s">
        <v>3883</v>
      </c>
      <c r="C1424" s="4" t="s">
        <v>25</v>
      </c>
      <c r="D1424" s="4" t="s">
        <v>26</v>
      </c>
      <c r="E1424" s="5" t="str">
        <f>"9051055"</f>
        <v>9051055</v>
      </c>
      <c r="F1424" s="3" t="s">
        <v>4514</v>
      </c>
      <c r="G1424" s="5">
        <v>2105743523</v>
      </c>
      <c r="H1424" s="4" t="s">
        <v>4515</v>
      </c>
      <c r="I1424" s="4" t="s">
        <v>3886</v>
      </c>
      <c r="J1424" s="4" t="s">
        <v>3887</v>
      </c>
      <c r="K1424" s="4" t="s">
        <v>4516</v>
      </c>
      <c r="L1424" s="5">
        <v>12136</v>
      </c>
    </row>
    <row r="1425" spans="1:12" x14ac:dyDescent="0.25">
      <c r="A1425" s="3" t="s">
        <v>1057</v>
      </c>
      <c r="B1425" s="4" t="s">
        <v>3883</v>
      </c>
      <c r="C1425" s="4" t="s">
        <v>14</v>
      </c>
      <c r="D1425" s="4" t="s">
        <v>15</v>
      </c>
      <c r="E1425" s="5" t="str">
        <f>"9050339"</f>
        <v>9050339</v>
      </c>
      <c r="F1425" s="3" t="s">
        <v>4517</v>
      </c>
      <c r="G1425" s="5">
        <v>2105614785</v>
      </c>
      <c r="H1425" s="4" t="s">
        <v>4518</v>
      </c>
      <c r="I1425" s="4" t="s">
        <v>3919</v>
      </c>
      <c r="J1425" s="4" t="s">
        <v>3920</v>
      </c>
      <c r="K1425" s="4" t="s">
        <v>4519</v>
      </c>
      <c r="L1425" s="5">
        <v>12351</v>
      </c>
    </row>
    <row r="1426" spans="1:12" x14ac:dyDescent="0.25">
      <c r="A1426" s="3" t="s">
        <v>1057</v>
      </c>
      <c r="B1426" s="4" t="s">
        <v>3883</v>
      </c>
      <c r="C1426" s="4" t="s">
        <v>14</v>
      </c>
      <c r="D1426" s="4" t="s">
        <v>15</v>
      </c>
      <c r="E1426" s="5" t="str">
        <f>"9050382"</f>
        <v>9050382</v>
      </c>
      <c r="F1426" s="3" t="s">
        <v>4520</v>
      </c>
      <c r="G1426" s="5">
        <v>2105712311</v>
      </c>
      <c r="H1426" s="4" t="s">
        <v>4521</v>
      </c>
      <c r="I1426" s="4" t="s">
        <v>3886</v>
      </c>
      <c r="J1426" s="4" t="s">
        <v>3887</v>
      </c>
      <c r="K1426" s="4" t="s">
        <v>4522</v>
      </c>
      <c r="L1426" s="5">
        <v>12136</v>
      </c>
    </row>
    <row r="1427" spans="1:12" x14ac:dyDescent="0.25">
      <c r="A1427" s="3" t="s">
        <v>1057</v>
      </c>
      <c r="B1427" s="4" t="s">
        <v>3883</v>
      </c>
      <c r="C1427" s="4" t="s">
        <v>14</v>
      </c>
      <c r="D1427" s="4" t="s">
        <v>15</v>
      </c>
      <c r="E1427" s="5" t="str">
        <f>"9051143"</f>
        <v>9051143</v>
      </c>
      <c r="F1427" s="3" t="s">
        <v>4523</v>
      </c>
      <c r="G1427" s="5">
        <v>2102626737</v>
      </c>
      <c r="H1427" s="4" t="s">
        <v>4524</v>
      </c>
      <c r="I1427" s="4" t="s">
        <v>3958</v>
      </c>
      <c r="J1427" s="4" t="s">
        <v>3981</v>
      </c>
      <c r="K1427" s="4" t="s">
        <v>4525</v>
      </c>
      <c r="L1427" s="5">
        <v>13122</v>
      </c>
    </row>
    <row r="1428" spans="1:12" x14ac:dyDescent="0.25">
      <c r="A1428" s="3" t="s">
        <v>1057</v>
      </c>
      <c r="B1428" s="4" t="s">
        <v>3883</v>
      </c>
      <c r="C1428" s="4" t="s">
        <v>25</v>
      </c>
      <c r="D1428" s="4" t="s">
        <v>26</v>
      </c>
      <c r="E1428" s="5" t="str">
        <f>"9050858"</f>
        <v>9050858</v>
      </c>
      <c r="F1428" s="3" t="s">
        <v>4526</v>
      </c>
      <c r="G1428" s="5">
        <v>2105813120</v>
      </c>
      <c r="H1428" s="4" t="s">
        <v>4527</v>
      </c>
      <c r="I1428" s="4" t="s">
        <v>3936</v>
      </c>
      <c r="J1428" s="4" t="s">
        <v>4082</v>
      </c>
      <c r="K1428" s="4" t="s">
        <v>3547</v>
      </c>
      <c r="L1428" s="5">
        <v>12461</v>
      </c>
    </row>
    <row r="1429" spans="1:12" x14ac:dyDescent="0.25">
      <c r="A1429" s="3" t="s">
        <v>1057</v>
      </c>
      <c r="B1429" s="4" t="s">
        <v>3883</v>
      </c>
      <c r="C1429" s="4" t="s">
        <v>14</v>
      </c>
      <c r="D1429" s="4" t="s">
        <v>15</v>
      </c>
      <c r="E1429" s="5" t="str">
        <f>"9050431"</f>
        <v>9050431</v>
      </c>
      <c r="F1429" s="3" t="s">
        <v>4528</v>
      </c>
      <c r="G1429" s="5">
        <v>2102630249</v>
      </c>
      <c r="H1429" s="4" t="s">
        <v>4529</v>
      </c>
      <c r="I1429" s="4" t="s">
        <v>3958</v>
      </c>
      <c r="J1429" s="4" t="s">
        <v>3981</v>
      </c>
      <c r="K1429" s="4" t="s">
        <v>4294</v>
      </c>
      <c r="L1429" s="5">
        <v>13121</v>
      </c>
    </row>
    <row r="1430" spans="1:12" x14ac:dyDescent="0.25">
      <c r="A1430" s="3" t="s">
        <v>1057</v>
      </c>
      <c r="B1430" s="4" t="s">
        <v>3883</v>
      </c>
      <c r="C1430" s="4" t="s">
        <v>25</v>
      </c>
      <c r="D1430" s="4" t="s">
        <v>26</v>
      </c>
      <c r="E1430" s="5" t="str">
        <f>"9050863"</f>
        <v>9050863</v>
      </c>
      <c r="F1430" s="3" t="s">
        <v>4530</v>
      </c>
      <c r="G1430" s="5">
        <v>2105741892</v>
      </c>
      <c r="H1430" s="4" t="s">
        <v>4531</v>
      </c>
      <c r="I1430" s="4" t="s">
        <v>3886</v>
      </c>
      <c r="J1430" s="4" t="s">
        <v>3887</v>
      </c>
      <c r="K1430" s="4" t="s">
        <v>4532</v>
      </c>
      <c r="L1430" s="5">
        <v>12132</v>
      </c>
    </row>
    <row r="1431" spans="1:12" x14ac:dyDescent="0.25">
      <c r="A1431" s="3" t="s">
        <v>1057</v>
      </c>
      <c r="B1431" s="4" t="s">
        <v>3883</v>
      </c>
      <c r="C1431" s="4" t="s">
        <v>25</v>
      </c>
      <c r="D1431" s="4" t="s">
        <v>26</v>
      </c>
      <c r="E1431" s="5" t="str">
        <f>"9050985"</f>
        <v>9050985</v>
      </c>
      <c r="F1431" s="3" t="s">
        <v>4533</v>
      </c>
      <c r="G1431" s="5">
        <v>2105739822</v>
      </c>
      <c r="H1431" s="4" t="s">
        <v>4534</v>
      </c>
      <c r="I1431" s="4" t="s">
        <v>3886</v>
      </c>
      <c r="J1431" s="4" t="s">
        <v>3887</v>
      </c>
      <c r="K1431" s="4" t="s">
        <v>4368</v>
      </c>
      <c r="L1431" s="5">
        <v>12133</v>
      </c>
    </row>
    <row r="1432" spans="1:12" x14ac:dyDescent="0.25">
      <c r="A1432" s="3" t="s">
        <v>1057</v>
      </c>
      <c r="B1432" s="4" t="s">
        <v>3883</v>
      </c>
      <c r="C1432" s="4" t="s">
        <v>14</v>
      </c>
      <c r="D1432" s="4" t="s">
        <v>15</v>
      </c>
      <c r="E1432" s="5" t="str">
        <f>"9050402"</f>
        <v>9050402</v>
      </c>
      <c r="F1432" s="3" t="s">
        <v>4535</v>
      </c>
      <c r="G1432" s="5">
        <v>2105726586</v>
      </c>
      <c r="H1432" s="4" t="s">
        <v>4536</v>
      </c>
      <c r="I1432" s="4" t="s">
        <v>3886</v>
      </c>
      <c r="J1432" s="4" t="s">
        <v>3887</v>
      </c>
      <c r="K1432" s="4" t="s">
        <v>4257</v>
      </c>
      <c r="L1432" s="5">
        <v>12137</v>
      </c>
    </row>
    <row r="1433" spans="1:12" x14ac:dyDescent="0.25">
      <c r="A1433" s="3" t="s">
        <v>1057</v>
      </c>
      <c r="B1433" s="4" t="s">
        <v>3883</v>
      </c>
      <c r="C1433" s="4" t="s">
        <v>14</v>
      </c>
      <c r="D1433" s="4" t="s">
        <v>15</v>
      </c>
      <c r="E1433" s="5" t="str">
        <f>"9050830"</f>
        <v>9050830</v>
      </c>
      <c r="F1433" s="3" t="s">
        <v>4537</v>
      </c>
      <c r="G1433" s="5">
        <v>2105012339</v>
      </c>
      <c r="H1433" s="4" t="s">
        <v>4538</v>
      </c>
      <c r="I1433" s="4" t="s">
        <v>3891</v>
      </c>
      <c r="J1433" s="4" t="s">
        <v>3892</v>
      </c>
      <c r="K1433" s="4" t="s">
        <v>4539</v>
      </c>
      <c r="L1433" s="5">
        <v>13231</v>
      </c>
    </row>
    <row r="1434" spans="1:12" ht="30" x14ac:dyDescent="0.25">
      <c r="A1434" s="3" t="s">
        <v>1057</v>
      </c>
      <c r="B1434" s="4" t="s">
        <v>3883</v>
      </c>
      <c r="C1434" s="4" t="s">
        <v>14</v>
      </c>
      <c r="D1434" s="4" t="s">
        <v>15</v>
      </c>
      <c r="E1434" s="5" t="str">
        <f>"9050899"</f>
        <v>9050899</v>
      </c>
      <c r="F1434" s="3" t="s">
        <v>4540</v>
      </c>
      <c r="G1434" s="5">
        <v>2105902620</v>
      </c>
      <c r="H1434" s="4" t="s">
        <v>4541</v>
      </c>
      <c r="I1434" s="4" t="s">
        <v>3951</v>
      </c>
      <c r="J1434" s="4" t="s">
        <v>3951</v>
      </c>
      <c r="K1434" s="4" t="s">
        <v>4542</v>
      </c>
      <c r="L1434" s="5">
        <v>12243</v>
      </c>
    </row>
    <row r="1435" spans="1:12" x14ac:dyDescent="0.25">
      <c r="A1435" s="3" t="s">
        <v>1057</v>
      </c>
      <c r="B1435" s="4" t="s">
        <v>3883</v>
      </c>
      <c r="C1435" s="4" t="s">
        <v>14</v>
      </c>
      <c r="D1435" s="4" t="s">
        <v>15</v>
      </c>
      <c r="E1435" s="5" t="str">
        <f>"9051273"</f>
        <v>9051273</v>
      </c>
      <c r="F1435" s="3" t="s">
        <v>4543</v>
      </c>
      <c r="G1435" s="5">
        <v>2105016555</v>
      </c>
      <c r="H1435" s="4" t="s">
        <v>4544</v>
      </c>
      <c r="I1435" s="4" t="s">
        <v>3891</v>
      </c>
      <c r="J1435" s="4" t="s">
        <v>3892</v>
      </c>
      <c r="K1435" s="4" t="s">
        <v>4545</v>
      </c>
      <c r="L1435" s="5">
        <v>13231</v>
      </c>
    </row>
    <row r="1436" spans="1:12" x14ac:dyDescent="0.25">
      <c r="A1436" s="3" t="s">
        <v>1057</v>
      </c>
      <c r="B1436" s="4" t="s">
        <v>3883</v>
      </c>
      <c r="C1436" s="4" t="s">
        <v>25</v>
      </c>
      <c r="D1436" s="4" t="s">
        <v>26</v>
      </c>
      <c r="E1436" s="5" t="str">
        <f>"9050362"</f>
        <v>9050362</v>
      </c>
      <c r="F1436" s="3" t="s">
        <v>4546</v>
      </c>
      <c r="G1436" s="5">
        <v>2105987523</v>
      </c>
      <c r="H1436" s="4" t="s">
        <v>4547</v>
      </c>
      <c r="I1436" s="4" t="s">
        <v>3951</v>
      </c>
      <c r="J1436" s="4" t="s">
        <v>3951</v>
      </c>
      <c r="K1436" s="4" t="s">
        <v>4548</v>
      </c>
      <c r="L1436" s="5">
        <v>12242</v>
      </c>
    </row>
    <row r="1437" spans="1:12" ht="30" x14ac:dyDescent="0.25">
      <c r="A1437" s="3" t="s">
        <v>1057</v>
      </c>
      <c r="B1437" s="4" t="s">
        <v>3883</v>
      </c>
      <c r="C1437" s="4" t="s">
        <v>14</v>
      </c>
      <c r="D1437" s="4" t="s">
        <v>15</v>
      </c>
      <c r="E1437" s="5" t="str">
        <f>"9050419"</f>
        <v>9050419</v>
      </c>
      <c r="F1437" s="3" t="s">
        <v>4549</v>
      </c>
      <c r="G1437" s="5">
        <v>2128098179</v>
      </c>
      <c r="H1437" s="4" t="s">
        <v>4550</v>
      </c>
      <c r="I1437" s="4" t="s">
        <v>3914</v>
      </c>
      <c r="J1437" s="4" t="s">
        <v>3915</v>
      </c>
      <c r="K1437" s="4" t="s">
        <v>4551</v>
      </c>
      <c r="L1437" s="5">
        <v>13561</v>
      </c>
    </row>
    <row r="1438" spans="1:12" x14ac:dyDescent="0.25">
      <c r="A1438" s="3" t="s">
        <v>1057</v>
      </c>
      <c r="B1438" s="4" t="s">
        <v>3883</v>
      </c>
      <c r="C1438" s="4" t="s">
        <v>14</v>
      </c>
      <c r="D1438" s="4" t="s">
        <v>15</v>
      </c>
      <c r="E1438" s="5" t="str">
        <f>"9050438"</f>
        <v>9050438</v>
      </c>
      <c r="F1438" s="3" t="s">
        <v>4552</v>
      </c>
      <c r="G1438" s="5">
        <v>2105012729</v>
      </c>
      <c r="H1438" s="4" t="s">
        <v>4553</v>
      </c>
      <c r="I1438" s="4" t="s">
        <v>3891</v>
      </c>
      <c r="J1438" s="4" t="s">
        <v>3892</v>
      </c>
      <c r="K1438" s="4" t="s">
        <v>4554</v>
      </c>
      <c r="L1438" s="5">
        <v>13231</v>
      </c>
    </row>
    <row r="1439" spans="1:12" x14ac:dyDescent="0.25">
      <c r="A1439" s="3" t="s">
        <v>1057</v>
      </c>
      <c r="B1439" s="4" t="s">
        <v>3883</v>
      </c>
      <c r="C1439" s="4" t="s">
        <v>14</v>
      </c>
      <c r="D1439" s="4" t="s">
        <v>15</v>
      </c>
      <c r="E1439" s="5" t="str">
        <f>"9050430"</f>
        <v>9050430</v>
      </c>
      <c r="F1439" s="3" t="s">
        <v>4555</v>
      </c>
      <c r="G1439" s="5">
        <v>2105019461</v>
      </c>
      <c r="H1439" s="4" t="s">
        <v>4556</v>
      </c>
      <c r="I1439" s="4" t="s">
        <v>3958</v>
      </c>
      <c r="J1439" s="4" t="s">
        <v>3981</v>
      </c>
      <c r="K1439" s="4" t="s">
        <v>4176</v>
      </c>
      <c r="L1439" s="5">
        <v>13123</v>
      </c>
    </row>
    <row r="1440" spans="1:12" x14ac:dyDescent="0.25">
      <c r="A1440" s="3" t="s">
        <v>1057</v>
      </c>
      <c r="B1440" s="4" t="s">
        <v>3883</v>
      </c>
      <c r="C1440" s="4" t="s">
        <v>14</v>
      </c>
      <c r="D1440" s="4" t="s">
        <v>15</v>
      </c>
      <c r="E1440" s="5" t="str">
        <f>"9050385"</f>
        <v>9050385</v>
      </c>
      <c r="F1440" s="3" t="s">
        <v>4557</v>
      </c>
      <c r="G1440" s="5">
        <v>2105715121</v>
      </c>
      <c r="H1440" s="4" t="s">
        <v>4558</v>
      </c>
      <c r="I1440" s="4" t="s">
        <v>3886</v>
      </c>
      <c r="J1440" s="4" t="s">
        <v>3887</v>
      </c>
      <c r="K1440" s="4" t="s">
        <v>4559</v>
      </c>
      <c r="L1440" s="5">
        <v>12136</v>
      </c>
    </row>
    <row r="1441" spans="1:12" ht="30" x14ac:dyDescent="0.25">
      <c r="A1441" s="3" t="s">
        <v>1057</v>
      </c>
      <c r="B1441" s="4" t="s">
        <v>3883</v>
      </c>
      <c r="C1441" s="4" t="s">
        <v>14</v>
      </c>
      <c r="D1441" s="4" t="s">
        <v>15</v>
      </c>
      <c r="E1441" s="5" t="str">
        <f>"9050397"</f>
        <v>9050397</v>
      </c>
      <c r="F1441" s="3" t="s">
        <v>4560</v>
      </c>
      <c r="G1441" s="5">
        <v>2105710783</v>
      </c>
      <c r="H1441" s="4" t="s">
        <v>4561</v>
      </c>
      <c r="I1441" s="4" t="s">
        <v>3886</v>
      </c>
      <c r="J1441" s="4" t="s">
        <v>3887</v>
      </c>
      <c r="K1441" s="4" t="s">
        <v>4562</v>
      </c>
      <c r="L1441" s="5">
        <v>12136</v>
      </c>
    </row>
    <row r="1442" spans="1:12" x14ac:dyDescent="0.25">
      <c r="A1442" s="3" t="s">
        <v>1057</v>
      </c>
      <c r="B1442" s="4" t="s">
        <v>3883</v>
      </c>
      <c r="C1442" s="4" t="s">
        <v>14</v>
      </c>
      <c r="D1442" s="4" t="s">
        <v>15</v>
      </c>
      <c r="E1442" s="5" t="str">
        <f>"9051532"</f>
        <v>9051532</v>
      </c>
      <c r="F1442" s="3" t="s">
        <v>4563</v>
      </c>
      <c r="G1442" s="5">
        <v>2102614372</v>
      </c>
      <c r="H1442" s="4" t="s">
        <v>4564</v>
      </c>
      <c r="I1442" s="4" t="s">
        <v>3958</v>
      </c>
      <c r="J1442" s="4" t="s">
        <v>4565</v>
      </c>
      <c r="K1442" s="4" t="s">
        <v>4566</v>
      </c>
      <c r="L1442" s="5">
        <v>13122</v>
      </c>
    </row>
    <row r="1443" spans="1:12" ht="30" x14ac:dyDescent="0.25">
      <c r="A1443" s="3" t="s">
        <v>1057</v>
      </c>
      <c r="B1443" s="4" t="s">
        <v>3883</v>
      </c>
      <c r="C1443" s="4" t="s">
        <v>14</v>
      </c>
      <c r="D1443" s="4" t="s">
        <v>15</v>
      </c>
      <c r="E1443" s="5" t="str">
        <f>"9051151"</f>
        <v>9051151</v>
      </c>
      <c r="F1443" s="3" t="s">
        <v>4567</v>
      </c>
      <c r="G1443" s="5">
        <v>2102387388</v>
      </c>
      <c r="H1443" s="4" t="s">
        <v>4568</v>
      </c>
      <c r="I1443" s="4" t="s">
        <v>3914</v>
      </c>
      <c r="J1443" s="4" t="s">
        <v>4182</v>
      </c>
      <c r="K1443" s="4" t="s">
        <v>4406</v>
      </c>
      <c r="L1443" s="5">
        <v>13451</v>
      </c>
    </row>
    <row r="1444" spans="1:12" x14ac:dyDescent="0.25">
      <c r="A1444" s="3" t="s">
        <v>1057</v>
      </c>
      <c r="B1444" s="4" t="s">
        <v>3883</v>
      </c>
      <c r="C1444" s="4" t="s">
        <v>14</v>
      </c>
      <c r="D1444" s="4" t="s">
        <v>15</v>
      </c>
      <c r="E1444" s="5" t="str">
        <f>"9050429"</f>
        <v>9050429</v>
      </c>
      <c r="F1444" s="3" t="s">
        <v>4569</v>
      </c>
      <c r="G1444" s="5">
        <v>2102637624</v>
      </c>
      <c r="H1444" s="4" t="s">
        <v>4570</v>
      </c>
      <c r="I1444" s="4" t="s">
        <v>3958</v>
      </c>
      <c r="J1444" s="4" t="s">
        <v>3981</v>
      </c>
      <c r="K1444" s="4" t="s">
        <v>4571</v>
      </c>
      <c r="L1444" s="5">
        <v>13122</v>
      </c>
    </row>
    <row r="1445" spans="1:12" x14ac:dyDescent="0.25">
      <c r="A1445" s="3" t="s">
        <v>1057</v>
      </c>
      <c r="B1445" s="4" t="s">
        <v>3883</v>
      </c>
      <c r="C1445" s="4" t="s">
        <v>14</v>
      </c>
      <c r="D1445" s="4" t="s">
        <v>15</v>
      </c>
      <c r="E1445" s="5" t="str">
        <f>"9051136"</f>
        <v>9051136</v>
      </c>
      <c r="F1445" s="3" t="s">
        <v>4572</v>
      </c>
      <c r="G1445" s="5">
        <v>2105759937</v>
      </c>
      <c r="H1445" s="4" t="s">
        <v>4573</v>
      </c>
      <c r="I1445" s="4" t="s">
        <v>3886</v>
      </c>
      <c r="J1445" s="4" t="s">
        <v>3887</v>
      </c>
      <c r="K1445" s="4" t="s">
        <v>4574</v>
      </c>
      <c r="L1445" s="5">
        <v>12137</v>
      </c>
    </row>
    <row r="1446" spans="1:12" x14ac:dyDescent="0.25">
      <c r="A1446" s="3" t="s">
        <v>1057</v>
      </c>
      <c r="B1446" s="4" t="s">
        <v>3883</v>
      </c>
      <c r="C1446" s="4" t="s">
        <v>25</v>
      </c>
      <c r="D1446" s="4" t="s">
        <v>26</v>
      </c>
      <c r="E1446" s="5" t="str">
        <f>"9050764"</f>
        <v>9050764</v>
      </c>
      <c r="F1446" s="3" t="s">
        <v>4575</v>
      </c>
      <c r="G1446" s="5">
        <v>2105710306</v>
      </c>
      <c r="H1446" s="4" t="s">
        <v>4576</v>
      </c>
      <c r="I1446" s="4" t="s">
        <v>3886</v>
      </c>
      <c r="J1446" s="4" t="s">
        <v>3887</v>
      </c>
      <c r="K1446" s="4" t="s">
        <v>4577</v>
      </c>
      <c r="L1446" s="5">
        <v>12136</v>
      </c>
    </row>
    <row r="1447" spans="1:12" x14ac:dyDescent="0.25">
      <c r="A1447" s="3" t="s">
        <v>1057</v>
      </c>
      <c r="B1447" s="4" t="s">
        <v>3883</v>
      </c>
      <c r="C1447" s="4" t="s">
        <v>25</v>
      </c>
      <c r="D1447" s="4" t="s">
        <v>26</v>
      </c>
      <c r="E1447" s="5" t="str">
        <f>"9050356"</f>
        <v>9050356</v>
      </c>
      <c r="F1447" s="3" t="s">
        <v>4578</v>
      </c>
      <c r="G1447" s="5">
        <v>2105692459</v>
      </c>
      <c r="H1447" s="4" t="s">
        <v>4579</v>
      </c>
      <c r="I1447" s="4" t="s">
        <v>3951</v>
      </c>
      <c r="J1447" s="4" t="s">
        <v>3951</v>
      </c>
      <c r="K1447" s="4" t="s">
        <v>4409</v>
      </c>
      <c r="L1447" s="5">
        <v>12241</v>
      </c>
    </row>
    <row r="1448" spans="1:12" x14ac:dyDescent="0.25">
      <c r="A1448" s="3" t="s">
        <v>1057</v>
      </c>
      <c r="B1448" s="4" t="s">
        <v>3883</v>
      </c>
      <c r="C1448" s="4" t="s">
        <v>14</v>
      </c>
      <c r="D1448" s="4" t="s">
        <v>15</v>
      </c>
      <c r="E1448" s="5" t="str">
        <f>"9050405"</f>
        <v>9050405</v>
      </c>
      <c r="F1448" s="3" t="s">
        <v>4580</v>
      </c>
      <c r="G1448" s="5">
        <v>2105711204</v>
      </c>
      <c r="H1448" s="4" t="s">
        <v>4581</v>
      </c>
      <c r="I1448" s="4" t="s">
        <v>3886</v>
      </c>
      <c r="J1448" s="4" t="s">
        <v>3887</v>
      </c>
      <c r="K1448" s="4" t="s">
        <v>4582</v>
      </c>
      <c r="L1448" s="5">
        <v>12134</v>
      </c>
    </row>
    <row r="1449" spans="1:12" x14ac:dyDescent="0.25">
      <c r="A1449" s="3" t="s">
        <v>1057</v>
      </c>
      <c r="B1449" s="4" t="s">
        <v>3883</v>
      </c>
      <c r="C1449" s="4" t="s">
        <v>14</v>
      </c>
      <c r="D1449" s="4" t="s">
        <v>15</v>
      </c>
      <c r="E1449" s="5" t="str">
        <f>"9051133"</f>
        <v>9051133</v>
      </c>
      <c r="F1449" s="3" t="s">
        <v>4583</v>
      </c>
      <c r="G1449" s="5">
        <v>2105731146</v>
      </c>
      <c r="H1449" s="4" t="s">
        <v>4584</v>
      </c>
      <c r="I1449" s="4" t="s">
        <v>3886</v>
      </c>
      <c r="J1449" s="4" t="s">
        <v>3887</v>
      </c>
      <c r="K1449" s="4" t="s">
        <v>4585</v>
      </c>
      <c r="L1449" s="5">
        <v>12135</v>
      </c>
    </row>
    <row r="1450" spans="1:12" x14ac:dyDescent="0.25">
      <c r="A1450" s="3" t="s">
        <v>1057</v>
      </c>
      <c r="B1450" s="4" t="s">
        <v>3883</v>
      </c>
      <c r="C1450" s="4" t="s">
        <v>14</v>
      </c>
      <c r="D1450" s="4" t="s">
        <v>15</v>
      </c>
      <c r="E1450" s="5" t="str">
        <f>"9050259"</f>
        <v>9050259</v>
      </c>
      <c r="F1450" s="3" t="s">
        <v>4586</v>
      </c>
      <c r="G1450" s="5">
        <v>2102319000</v>
      </c>
      <c r="H1450" s="4" t="s">
        <v>4587</v>
      </c>
      <c r="I1450" s="4" t="s">
        <v>3914</v>
      </c>
      <c r="J1450" s="4" t="s">
        <v>4182</v>
      </c>
      <c r="K1450" s="4" t="s">
        <v>4588</v>
      </c>
      <c r="L1450" s="5">
        <v>13451</v>
      </c>
    </row>
    <row r="1451" spans="1:12" x14ac:dyDescent="0.25">
      <c r="A1451" s="3" t="s">
        <v>1057</v>
      </c>
      <c r="B1451" s="4" t="s">
        <v>3883</v>
      </c>
      <c r="C1451" s="4" t="s">
        <v>14</v>
      </c>
      <c r="D1451" s="4" t="s">
        <v>15</v>
      </c>
      <c r="E1451" s="5" t="str">
        <f>"9050260"</f>
        <v>9050260</v>
      </c>
      <c r="F1451" s="3" t="s">
        <v>4589</v>
      </c>
      <c r="G1451" s="5">
        <v>2128098127</v>
      </c>
      <c r="H1451" s="4" t="s">
        <v>4590</v>
      </c>
      <c r="I1451" s="4" t="s">
        <v>3914</v>
      </c>
      <c r="J1451" s="4" t="s">
        <v>4182</v>
      </c>
      <c r="K1451" s="4" t="s">
        <v>4591</v>
      </c>
      <c r="L1451" s="5">
        <v>13451</v>
      </c>
    </row>
    <row r="1452" spans="1:12" x14ac:dyDescent="0.25">
      <c r="A1452" s="3" t="s">
        <v>1057</v>
      </c>
      <c r="B1452" s="4" t="s">
        <v>3883</v>
      </c>
      <c r="C1452" s="4" t="s">
        <v>14</v>
      </c>
      <c r="D1452" s="4" t="s">
        <v>15</v>
      </c>
      <c r="E1452" s="5" t="str">
        <f>"9050404"</f>
        <v>9050404</v>
      </c>
      <c r="F1452" s="3" t="s">
        <v>4592</v>
      </c>
      <c r="G1452" s="5">
        <v>2105723777</v>
      </c>
      <c r="H1452" s="4" t="s">
        <v>4593</v>
      </c>
      <c r="I1452" s="4" t="s">
        <v>3886</v>
      </c>
      <c r="J1452" s="4" t="s">
        <v>3887</v>
      </c>
      <c r="K1452" s="4" t="s">
        <v>4594</v>
      </c>
      <c r="L1452" s="5">
        <v>12137</v>
      </c>
    </row>
    <row r="1453" spans="1:12" x14ac:dyDescent="0.25">
      <c r="A1453" s="3" t="s">
        <v>1057</v>
      </c>
      <c r="B1453" s="4" t="s">
        <v>3883</v>
      </c>
      <c r="C1453" s="4" t="s">
        <v>25</v>
      </c>
      <c r="D1453" s="4" t="s">
        <v>26</v>
      </c>
      <c r="E1453" s="5" t="str">
        <f>"9051916"</f>
        <v>9051916</v>
      </c>
      <c r="F1453" s="3" t="s">
        <v>4595</v>
      </c>
      <c r="G1453" s="5">
        <v>2102623251</v>
      </c>
      <c r="H1453" s="4" t="s">
        <v>4596</v>
      </c>
      <c r="I1453" s="4" t="s">
        <v>3958</v>
      </c>
      <c r="J1453" s="4" t="s">
        <v>3959</v>
      </c>
      <c r="K1453" s="4" t="s">
        <v>4597</v>
      </c>
      <c r="L1453" s="5">
        <v>13122</v>
      </c>
    </row>
    <row r="1454" spans="1:12" x14ac:dyDescent="0.25">
      <c r="A1454" s="3" t="s">
        <v>1057</v>
      </c>
      <c r="B1454" s="4" t="s">
        <v>3883</v>
      </c>
      <c r="C1454" s="4" t="s">
        <v>25</v>
      </c>
      <c r="D1454" s="4" t="s">
        <v>26</v>
      </c>
      <c r="E1454" s="5" t="str">
        <f>"9051512"</f>
        <v>9051512</v>
      </c>
      <c r="F1454" s="3" t="s">
        <v>4598</v>
      </c>
      <c r="G1454" s="5">
        <v>2105753043</v>
      </c>
      <c r="H1454" s="4" t="s">
        <v>4599</v>
      </c>
      <c r="I1454" s="4" t="s">
        <v>3886</v>
      </c>
      <c r="J1454" s="4" t="s">
        <v>3887</v>
      </c>
      <c r="K1454" s="4" t="s">
        <v>4600</v>
      </c>
      <c r="L1454" s="5">
        <v>12136</v>
      </c>
    </row>
    <row r="1455" spans="1:12" x14ac:dyDescent="0.25">
      <c r="A1455" s="3" t="s">
        <v>1057</v>
      </c>
      <c r="B1455" s="4" t="s">
        <v>3883</v>
      </c>
      <c r="C1455" s="4" t="s">
        <v>14</v>
      </c>
      <c r="D1455" s="4" t="s">
        <v>15</v>
      </c>
      <c r="E1455" s="5" t="str">
        <f>"9050399"</f>
        <v>9050399</v>
      </c>
      <c r="F1455" s="3" t="s">
        <v>4601</v>
      </c>
      <c r="G1455" s="5">
        <v>2105734245</v>
      </c>
      <c r="H1455" s="4" t="s">
        <v>4602</v>
      </c>
      <c r="I1455" s="4" t="s">
        <v>3886</v>
      </c>
      <c r="J1455" s="4" t="s">
        <v>3887</v>
      </c>
      <c r="K1455" s="4" t="s">
        <v>4603</v>
      </c>
      <c r="L1455" s="5">
        <v>12135</v>
      </c>
    </row>
    <row r="1456" spans="1:12" x14ac:dyDescent="0.25">
      <c r="A1456" s="3" t="s">
        <v>1057</v>
      </c>
      <c r="B1456" s="4" t="s">
        <v>3883</v>
      </c>
      <c r="C1456" s="4" t="s">
        <v>14</v>
      </c>
      <c r="D1456" s="4" t="s">
        <v>15</v>
      </c>
      <c r="E1456" s="5" t="str">
        <f>"9051135"</f>
        <v>9051135</v>
      </c>
      <c r="F1456" s="3" t="s">
        <v>4604</v>
      </c>
      <c r="G1456" s="5">
        <v>2105787449</v>
      </c>
      <c r="H1456" s="4" t="s">
        <v>4605</v>
      </c>
      <c r="I1456" s="4" t="s">
        <v>3886</v>
      </c>
      <c r="J1456" s="4" t="s">
        <v>3887</v>
      </c>
      <c r="K1456" s="4" t="s">
        <v>4606</v>
      </c>
      <c r="L1456" s="5">
        <v>12137</v>
      </c>
    </row>
    <row r="1457" spans="1:12" x14ac:dyDescent="0.25">
      <c r="A1457" s="3" t="s">
        <v>1057</v>
      </c>
      <c r="B1457" s="4" t="s">
        <v>3883</v>
      </c>
      <c r="C1457" s="4" t="s">
        <v>14</v>
      </c>
      <c r="D1457" s="4" t="s">
        <v>15</v>
      </c>
      <c r="E1457" s="5" t="str">
        <f>"9050379"</f>
        <v>9050379</v>
      </c>
      <c r="F1457" s="3" t="s">
        <v>4607</v>
      </c>
      <c r="G1457" s="5">
        <v>2105774950</v>
      </c>
      <c r="H1457" s="4" t="s">
        <v>4608</v>
      </c>
      <c r="I1457" s="4" t="s">
        <v>3886</v>
      </c>
      <c r="J1457" s="4" t="s">
        <v>3887</v>
      </c>
      <c r="K1457" s="4" t="s">
        <v>4609</v>
      </c>
      <c r="L1457" s="5">
        <v>12135</v>
      </c>
    </row>
    <row r="1458" spans="1:12" x14ac:dyDescent="0.25">
      <c r="A1458" s="3" t="s">
        <v>1057</v>
      </c>
      <c r="B1458" s="4" t="s">
        <v>3883</v>
      </c>
      <c r="C1458" s="4" t="s">
        <v>14</v>
      </c>
      <c r="D1458" s="4" t="s">
        <v>15</v>
      </c>
      <c r="E1458" s="5" t="str">
        <f>"9050392"</f>
        <v>9050392</v>
      </c>
      <c r="F1458" s="3" t="s">
        <v>4610</v>
      </c>
      <c r="G1458" s="5">
        <v>2105710240</v>
      </c>
      <c r="H1458" s="4" t="s">
        <v>4611</v>
      </c>
      <c r="I1458" s="4" t="s">
        <v>3886</v>
      </c>
      <c r="J1458" s="4" t="s">
        <v>3887</v>
      </c>
      <c r="K1458" s="4" t="s">
        <v>4612</v>
      </c>
      <c r="L1458" s="5">
        <v>12135</v>
      </c>
    </row>
    <row r="1459" spans="1:12" x14ac:dyDescent="0.25">
      <c r="A1459" s="3" t="s">
        <v>1057</v>
      </c>
      <c r="B1459" s="4" t="s">
        <v>3883</v>
      </c>
      <c r="C1459" s="4" t="s">
        <v>14</v>
      </c>
      <c r="D1459" s="4" t="s">
        <v>15</v>
      </c>
      <c r="E1459" s="5" t="str">
        <f>"9051144"</f>
        <v>9051144</v>
      </c>
      <c r="F1459" s="3" t="s">
        <v>4613</v>
      </c>
      <c r="G1459" s="5">
        <v>2105737370</v>
      </c>
      <c r="H1459" s="4" t="s">
        <v>4614</v>
      </c>
      <c r="I1459" s="4" t="s">
        <v>3958</v>
      </c>
      <c r="J1459" s="4" t="s">
        <v>3981</v>
      </c>
      <c r="K1459" s="4" t="s">
        <v>4615</v>
      </c>
      <c r="L1459" s="5">
        <v>13121</v>
      </c>
    </row>
    <row r="1460" spans="1:12" x14ac:dyDescent="0.25">
      <c r="A1460" s="3" t="s">
        <v>1057</v>
      </c>
      <c r="B1460" s="4" t="s">
        <v>3883</v>
      </c>
      <c r="C1460" s="4" t="s">
        <v>14</v>
      </c>
      <c r="D1460" s="4" t="s">
        <v>15</v>
      </c>
      <c r="E1460" s="5" t="str">
        <f>"9050394"</f>
        <v>9050394</v>
      </c>
      <c r="F1460" s="3" t="s">
        <v>4616</v>
      </c>
      <c r="G1460" s="5">
        <v>2105719409</v>
      </c>
      <c r="H1460" s="4" t="s">
        <v>4617</v>
      </c>
      <c r="I1460" s="4" t="s">
        <v>3886</v>
      </c>
      <c r="J1460" s="4" t="s">
        <v>3887</v>
      </c>
      <c r="K1460" s="4" t="s">
        <v>4618</v>
      </c>
      <c r="L1460" s="5">
        <v>12135</v>
      </c>
    </row>
    <row r="1461" spans="1:12" x14ac:dyDescent="0.25">
      <c r="A1461" s="3" t="s">
        <v>1057</v>
      </c>
      <c r="B1461" s="4" t="s">
        <v>3883</v>
      </c>
      <c r="C1461" s="4" t="s">
        <v>14</v>
      </c>
      <c r="D1461" s="4" t="s">
        <v>15</v>
      </c>
      <c r="E1461" s="5" t="str">
        <f>"9050916"</f>
        <v>9050916</v>
      </c>
      <c r="F1461" s="3" t="s">
        <v>4619</v>
      </c>
      <c r="G1461" s="5">
        <v>2105743966</v>
      </c>
      <c r="H1461" s="4" t="s">
        <v>4620</v>
      </c>
      <c r="I1461" s="4" t="s">
        <v>3886</v>
      </c>
      <c r="J1461" s="4" t="s">
        <v>3887</v>
      </c>
      <c r="K1461" s="4" t="s">
        <v>4522</v>
      </c>
      <c r="L1461" s="5">
        <v>12136</v>
      </c>
    </row>
    <row r="1462" spans="1:12" x14ac:dyDescent="0.25">
      <c r="A1462" s="3" t="s">
        <v>1057</v>
      </c>
      <c r="B1462" s="4" t="s">
        <v>3883</v>
      </c>
      <c r="C1462" s="4" t="s">
        <v>14</v>
      </c>
      <c r="D1462" s="4" t="s">
        <v>15</v>
      </c>
      <c r="E1462" s="5" t="str">
        <f>"9050411"</f>
        <v>9050411</v>
      </c>
      <c r="F1462" s="3" t="s">
        <v>4621</v>
      </c>
      <c r="G1462" s="5">
        <v>2105712979</v>
      </c>
      <c r="H1462" s="4" t="s">
        <v>4622</v>
      </c>
      <c r="I1462" s="4" t="s">
        <v>3886</v>
      </c>
      <c r="J1462" s="4" t="s">
        <v>3887</v>
      </c>
      <c r="K1462" s="4" t="s">
        <v>4623</v>
      </c>
      <c r="L1462" s="5">
        <v>12133</v>
      </c>
    </row>
    <row r="1463" spans="1:12" x14ac:dyDescent="0.25">
      <c r="A1463" s="3" t="s">
        <v>1057</v>
      </c>
      <c r="B1463" s="4" t="s">
        <v>3883</v>
      </c>
      <c r="C1463" s="4" t="s">
        <v>14</v>
      </c>
      <c r="D1463" s="4" t="s">
        <v>15</v>
      </c>
      <c r="E1463" s="5" t="str">
        <f>"9050377"</f>
        <v>9050377</v>
      </c>
      <c r="F1463" s="3" t="s">
        <v>4624</v>
      </c>
      <c r="G1463" s="5">
        <v>2105711747</v>
      </c>
      <c r="H1463" s="4" t="s">
        <v>4625</v>
      </c>
      <c r="I1463" s="4" t="s">
        <v>3886</v>
      </c>
      <c r="J1463" s="4" t="s">
        <v>4402</v>
      </c>
      <c r="K1463" s="4" t="s">
        <v>4626</v>
      </c>
      <c r="L1463" s="5">
        <v>12132</v>
      </c>
    </row>
    <row r="1464" spans="1:12" x14ac:dyDescent="0.25">
      <c r="A1464" s="3" t="s">
        <v>1057</v>
      </c>
      <c r="B1464" s="4" t="s">
        <v>3883</v>
      </c>
      <c r="C1464" s="4" t="s">
        <v>25</v>
      </c>
      <c r="D1464" s="4" t="s">
        <v>26</v>
      </c>
      <c r="E1464" s="5" t="str">
        <f>"9051046"</f>
        <v>9051046</v>
      </c>
      <c r="F1464" s="3" t="s">
        <v>4627</v>
      </c>
      <c r="G1464" s="5">
        <v>2105440602</v>
      </c>
      <c r="H1464" s="4" t="s">
        <v>4628</v>
      </c>
      <c r="I1464" s="4" t="s">
        <v>3951</v>
      </c>
      <c r="J1464" s="4" t="s">
        <v>3951</v>
      </c>
      <c r="K1464" s="4" t="s">
        <v>4245</v>
      </c>
      <c r="L1464" s="5">
        <v>12244</v>
      </c>
    </row>
    <row r="1465" spans="1:12" x14ac:dyDescent="0.25">
      <c r="A1465" s="3" t="s">
        <v>1057</v>
      </c>
      <c r="B1465" s="4" t="s">
        <v>3883</v>
      </c>
      <c r="C1465" s="4" t="s">
        <v>25</v>
      </c>
      <c r="D1465" s="4" t="s">
        <v>26</v>
      </c>
      <c r="E1465" s="5" t="str">
        <f>"9521423"</f>
        <v>9521423</v>
      </c>
      <c r="F1465" s="3" t="s">
        <v>4629</v>
      </c>
      <c r="G1465" s="5">
        <v>2105741721</v>
      </c>
      <c r="H1465" s="4" t="s">
        <v>4630</v>
      </c>
      <c r="I1465" s="4" t="s">
        <v>3886</v>
      </c>
      <c r="J1465" s="4" t="s">
        <v>3886</v>
      </c>
      <c r="K1465" s="4" t="s">
        <v>4631</v>
      </c>
      <c r="L1465" s="5">
        <v>12137</v>
      </c>
    </row>
    <row r="1466" spans="1:12" x14ac:dyDescent="0.25">
      <c r="A1466" s="3" t="s">
        <v>1057</v>
      </c>
      <c r="B1466" s="4" t="s">
        <v>3883</v>
      </c>
      <c r="C1466" s="4" t="s">
        <v>14</v>
      </c>
      <c r="D1466" s="4" t="s">
        <v>15</v>
      </c>
      <c r="E1466" s="5" t="str">
        <f>"9050422"</f>
        <v>9050422</v>
      </c>
      <c r="F1466" s="3" t="s">
        <v>4632</v>
      </c>
      <c r="G1466" s="5">
        <v>2102611753</v>
      </c>
      <c r="H1466" s="4" t="s">
        <v>4633</v>
      </c>
      <c r="I1466" s="4" t="s">
        <v>3958</v>
      </c>
      <c r="J1466" s="4" t="s">
        <v>3981</v>
      </c>
      <c r="K1466" s="4" t="s">
        <v>4634</v>
      </c>
      <c r="L1466" s="5">
        <v>13122</v>
      </c>
    </row>
    <row r="1467" spans="1:12" x14ac:dyDescent="0.25">
      <c r="A1467" s="3" t="s">
        <v>1057</v>
      </c>
      <c r="B1467" s="4" t="s">
        <v>3883</v>
      </c>
      <c r="C1467" s="4" t="s">
        <v>25</v>
      </c>
      <c r="D1467" s="4" t="s">
        <v>26</v>
      </c>
      <c r="E1467" s="5" t="str">
        <f>"9521570"</f>
        <v>9521570</v>
      </c>
      <c r="F1467" s="3" t="s">
        <v>4635</v>
      </c>
      <c r="G1467" s="5">
        <v>2102322972</v>
      </c>
      <c r="H1467" s="4" t="s">
        <v>4636</v>
      </c>
      <c r="I1467" s="4" t="s">
        <v>3914</v>
      </c>
      <c r="J1467" s="4" t="s">
        <v>4182</v>
      </c>
      <c r="K1467" s="4" t="s">
        <v>4637</v>
      </c>
      <c r="L1467" s="5">
        <v>13451</v>
      </c>
    </row>
    <row r="1468" spans="1:12" x14ac:dyDescent="0.25">
      <c r="A1468" s="3" t="s">
        <v>1057</v>
      </c>
      <c r="B1468" s="4" t="s">
        <v>3883</v>
      </c>
      <c r="C1468" s="4" t="s">
        <v>25</v>
      </c>
      <c r="D1468" s="4" t="s">
        <v>26</v>
      </c>
      <c r="E1468" s="5" t="str">
        <f>"9521652"</f>
        <v>9521652</v>
      </c>
      <c r="F1468" s="3" t="s">
        <v>4638</v>
      </c>
      <c r="G1468" s="5">
        <v>2105060007</v>
      </c>
      <c r="H1468" s="4" t="s">
        <v>4639</v>
      </c>
      <c r="I1468" s="4" t="s">
        <v>3891</v>
      </c>
      <c r="J1468" s="4" t="s">
        <v>4014</v>
      </c>
      <c r="K1468" s="4" t="s">
        <v>4240</v>
      </c>
      <c r="L1468" s="5">
        <v>13231</v>
      </c>
    </row>
    <row r="1469" spans="1:12" x14ac:dyDescent="0.25">
      <c r="A1469" s="3" t="s">
        <v>1057</v>
      </c>
      <c r="B1469" s="4" t="s">
        <v>3883</v>
      </c>
      <c r="C1469" s="4" t="s">
        <v>25</v>
      </c>
      <c r="D1469" s="4" t="s">
        <v>26</v>
      </c>
      <c r="E1469" s="5" t="str">
        <f>"9053003"</f>
        <v>9053003</v>
      </c>
      <c r="F1469" s="3" t="s">
        <v>4640</v>
      </c>
      <c r="G1469" s="5">
        <v>2105068592</v>
      </c>
      <c r="H1469" s="4" t="s">
        <v>4641</v>
      </c>
      <c r="I1469" s="4" t="s">
        <v>3891</v>
      </c>
      <c r="J1469" s="4" t="s">
        <v>3892</v>
      </c>
      <c r="K1469" s="4" t="s">
        <v>4642</v>
      </c>
      <c r="L1469" s="5">
        <v>13231</v>
      </c>
    </row>
    <row r="1470" spans="1:12" x14ac:dyDescent="0.25">
      <c r="A1470" s="3" t="s">
        <v>1057</v>
      </c>
      <c r="B1470" s="4" t="s">
        <v>4643</v>
      </c>
      <c r="C1470" s="4" t="s">
        <v>25</v>
      </c>
      <c r="D1470" s="4" t="s">
        <v>26</v>
      </c>
      <c r="E1470" s="5" t="str">
        <f>"9520432"</f>
        <v>9520432</v>
      </c>
      <c r="F1470" s="3" t="s">
        <v>4644</v>
      </c>
      <c r="G1470" s="5">
        <v>2109613247</v>
      </c>
      <c r="H1470" s="4" t="s">
        <v>4645</v>
      </c>
      <c r="I1470" s="4" t="s">
        <v>4646</v>
      </c>
      <c r="J1470" s="4" t="s">
        <v>4647</v>
      </c>
      <c r="K1470" s="4" t="s">
        <v>4648</v>
      </c>
      <c r="L1470" s="5">
        <v>16561</v>
      </c>
    </row>
    <row r="1471" spans="1:12" x14ac:dyDescent="0.25">
      <c r="A1471" s="3" t="s">
        <v>1057</v>
      </c>
      <c r="B1471" s="4" t="s">
        <v>4643</v>
      </c>
      <c r="C1471" s="4" t="s">
        <v>25</v>
      </c>
      <c r="D1471" s="4" t="s">
        <v>26</v>
      </c>
      <c r="E1471" s="5" t="str">
        <f>"9051888"</f>
        <v>9051888</v>
      </c>
      <c r="F1471" s="3" t="s">
        <v>4649</v>
      </c>
      <c r="G1471" s="5">
        <v>2109631150</v>
      </c>
      <c r="H1471" s="4" t="s">
        <v>4650</v>
      </c>
      <c r="I1471" s="4" t="s">
        <v>4646</v>
      </c>
      <c r="J1471" s="4" t="s">
        <v>4647</v>
      </c>
      <c r="K1471" s="4" t="s">
        <v>4651</v>
      </c>
      <c r="L1471" s="5">
        <v>16675</v>
      </c>
    </row>
    <row r="1472" spans="1:12" x14ac:dyDescent="0.25">
      <c r="A1472" s="3" t="s">
        <v>1057</v>
      </c>
      <c r="B1472" s="4" t="s">
        <v>4643</v>
      </c>
      <c r="C1472" s="4" t="s">
        <v>25</v>
      </c>
      <c r="D1472" s="4" t="s">
        <v>26</v>
      </c>
      <c r="E1472" s="5" t="str">
        <f>"9520378"</f>
        <v>9520378</v>
      </c>
      <c r="F1472" s="3" t="s">
        <v>4652</v>
      </c>
      <c r="G1472" s="5">
        <v>2109923968</v>
      </c>
      <c r="H1472" s="4" t="s">
        <v>4653</v>
      </c>
      <c r="I1472" s="4" t="s">
        <v>4654</v>
      </c>
      <c r="J1472" s="4" t="s">
        <v>4655</v>
      </c>
      <c r="K1472" s="4" t="s">
        <v>4656</v>
      </c>
      <c r="L1472" s="5">
        <v>16451</v>
      </c>
    </row>
    <row r="1473" spans="1:12" x14ac:dyDescent="0.25">
      <c r="A1473" s="3" t="s">
        <v>1057</v>
      </c>
      <c r="B1473" s="4" t="s">
        <v>4643</v>
      </c>
      <c r="C1473" s="4" t="s">
        <v>25</v>
      </c>
      <c r="D1473" s="4" t="s">
        <v>26</v>
      </c>
      <c r="E1473" s="5" t="str">
        <f>"9520412"</f>
        <v>9520412</v>
      </c>
      <c r="F1473" s="3" t="s">
        <v>4657</v>
      </c>
      <c r="G1473" s="5">
        <v>2109595455</v>
      </c>
      <c r="H1473" s="4" t="s">
        <v>4658</v>
      </c>
      <c r="I1473" s="4" t="s">
        <v>4659</v>
      </c>
      <c r="J1473" s="4" t="s">
        <v>4660</v>
      </c>
      <c r="K1473" s="4" t="s">
        <v>4661</v>
      </c>
      <c r="L1473" s="5">
        <v>17673</v>
      </c>
    </row>
    <row r="1474" spans="1:12" x14ac:dyDescent="0.25">
      <c r="A1474" s="3" t="s">
        <v>1057</v>
      </c>
      <c r="B1474" s="4" t="s">
        <v>4643</v>
      </c>
      <c r="C1474" s="4" t="s">
        <v>25</v>
      </c>
      <c r="D1474" s="4" t="s">
        <v>26</v>
      </c>
      <c r="E1474" s="5" t="str">
        <f>"9520442"</f>
        <v>9520442</v>
      </c>
      <c r="F1474" s="3" t="s">
        <v>4662</v>
      </c>
      <c r="G1474" s="5">
        <v>2109572993</v>
      </c>
      <c r="H1474" s="4" t="s">
        <v>4663</v>
      </c>
      <c r="I1474" s="4" t="s">
        <v>4659</v>
      </c>
      <c r="J1474" s="4" t="s">
        <v>4660</v>
      </c>
      <c r="K1474" s="4" t="s">
        <v>4664</v>
      </c>
      <c r="L1474" s="5">
        <v>17672</v>
      </c>
    </row>
    <row r="1475" spans="1:12" x14ac:dyDescent="0.25">
      <c r="A1475" s="3" t="s">
        <v>1057</v>
      </c>
      <c r="B1475" s="4" t="s">
        <v>4643</v>
      </c>
      <c r="C1475" s="4" t="s">
        <v>25</v>
      </c>
      <c r="D1475" s="4" t="s">
        <v>26</v>
      </c>
      <c r="E1475" s="5" t="str">
        <f>"9051247"</f>
        <v>9051247</v>
      </c>
      <c r="F1475" s="3" t="s">
        <v>4665</v>
      </c>
      <c r="G1475" s="5">
        <v>2109594116</v>
      </c>
      <c r="H1475" s="4" t="s">
        <v>4666</v>
      </c>
      <c r="I1475" s="4" t="s">
        <v>4659</v>
      </c>
      <c r="J1475" s="4" t="s">
        <v>4660</v>
      </c>
      <c r="K1475" s="4" t="s">
        <v>4667</v>
      </c>
      <c r="L1475" s="5">
        <v>17671</v>
      </c>
    </row>
    <row r="1476" spans="1:12" x14ac:dyDescent="0.25">
      <c r="A1476" s="3" t="s">
        <v>1057</v>
      </c>
      <c r="B1476" s="4" t="s">
        <v>4643</v>
      </c>
      <c r="C1476" s="4" t="s">
        <v>25</v>
      </c>
      <c r="D1476" s="4" t="s">
        <v>26</v>
      </c>
      <c r="E1476" s="5" t="str">
        <f>"9520449"</f>
        <v>9520449</v>
      </c>
      <c r="F1476" s="3" t="s">
        <v>4668</v>
      </c>
      <c r="G1476" s="5">
        <v>2109603588</v>
      </c>
      <c r="H1476" s="4" t="s">
        <v>4669</v>
      </c>
      <c r="I1476" s="4" t="s">
        <v>4646</v>
      </c>
      <c r="J1476" s="4" t="s">
        <v>4647</v>
      </c>
      <c r="K1476" s="4" t="s">
        <v>4670</v>
      </c>
      <c r="L1476" s="5">
        <v>16675</v>
      </c>
    </row>
    <row r="1477" spans="1:12" x14ac:dyDescent="0.25">
      <c r="A1477" s="3" t="s">
        <v>1057</v>
      </c>
      <c r="B1477" s="4" t="s">
        <v>4643</v>
      </c>
      <c r="C1477" s="4" t="s">
        <v>25</v>
      </c>
      <c r="D1477" s="4" t="s">
        <v>26</v>
      </c>
      <c r="E1477" s="5" t="str">
        <f>"9051342"</f>
        <v>9051342</v>
      </c>
      <c r="F1477" s="3" t="s">
        <v>4671</v>
      </c>
      <c r="G1477" s="5">
        <v>2108945902</v>
      </c>
      <c r="H1477" s="4" t="s">
        <v>4672</v>
      </c>
      <c r="I1477" s="4" t="s">
        <v>4646</v>
      </c>
      <c r="J1477" s="4" t="s">
        <v>4647</v>
      </c>
      <c r="K1477" s="4" t="s">
        <v>4673</v>
      </c>
      <c r="L1477" s="5">
        <v>16674</v>
      </c>
    </row>
    <row r="1478" spans="1:12" x14ac:dyDescent="0.25">
      <c r="A1478" s="3" t="s">
        <v>1057</v>
      </c>
      <c r="B1478" s="4" t="s">
        <v>4643</v>
      </c>
      <c r="C1478" s="4" t="s">
        <v>25</v>
      </c>
      <c r="D1478" s="4" t="s">
        <v>26</v>
      </c>
      <c r="E1478" s="5" t="str">
        <f>"9051316"</f>
        <v>9051316</v>
      </c>
      <c r="F1478" s="3" t="s">
        <v>4674</v>
      </c>
      <c r="G1478" s="5">
        <v>2109517014</v>
      </c>
      <c r="H1478" s="4" t="s">
        <v>4675</v>
      </c>
      <c r="I1478" s="4" t="s">
        <v>4659</v>
      </c>
      <c r="J1478" s="4" t="s">
        <v>4660</v>
      </c>
      <c r="K1478" s="4" t="s">
        <v>4676</v>
      </c>
      <c r="L1478" s="5">
        <v>17676</v>
      </c>
    </row>
    <row r="1479" spans="1:12" x14ac:dyDescent="0.25">
      <c r="A1479" s="3" t="s">
        <v>1057</v>
      </c>
      <c r="B1479" s="4" t="s">
        <v>4643</v>
      </c>
      <c r="C1479" s="4" t="s">
        <v>25</v>
      </c>
      <c r="D1479" s="4" t="s">
        <v>26</v>
      </c>
      <c r="E1479" s="5" t="str">
        <f>"9050226"</f>
        <v>9050226</v>
      </c>
      <c r="F1479" s="3" t="s">
        <v>4677</v>
      </c>
      <c r="G1479" s="5">
        <v>2109417086</v>
      </c>
      <c r="H1479" s="4" t="s">
        <v>4678</v>
      </c>
      <c r="I1479" s="4" t="s">
        <v>4679</v>
      </c>
      <c r="J1479" s="4" t="s">
        <v>4680</v>
      </c>
      <c r="K1479" s="4" t="s">
        <v>4681</v>
      </c>
      <c r="L1479" s="5">
        <v>18344</v>
      </c>
    </row>
    <row r="1480" spans="1:12" x14ac:dyDescent="0.25">
      <c r="A1480" s="3" t="s">
        <v>1057</v>
      </c>
      <c r="B1480" s="4" t="s">
        <v>4643</v>
      </c>
      <c r="C1480" s="4" t="s">
        <v>25</v>
      </c>
      <c r="D1480" s="4" t="s">
        <v>26</v>
      </c>
      <c r="E1480" s="5" t="str">
        <f>"9520422"</f>
        <v>9520422</v>
      </c>
      <c r="F1480" s="3" t="s">
        <v>4682</v>
      </c>
      <c r="G1480" s="5">
        <v>2109612041</v>
      </c>
      <c r="H1480" s="4" t="s">
        <v>4683</v>
      </c>
      <c r="I1480" s="4" t="s">
        <v>4654</v>
      </c>
      <c r="J1480" s="4" t="s">
        <v>4684</v>
      </c>
      <c r="K1480" s="4" t="s">
        <v>4685</v>
      </c>
      <c r="L1480" s="5">
        <v>16777</v>
      </c>
    </row>
    <row r="1481" spans="1:12" x14ac:dyDescent="0.25">
      <c r="A1481" s="3" t="s">
        <v>1057</v>
      </c>
      <c r="B1481" s="4" t="s">
        <v>4643</v>
      </c>
      <c r="C1481" s="4" t="s">
        <v>25</v>
      </c>
      <c r="D1481" s="4" t="s">
        <v>26</v>
      </c>
      <c r="E1481" s="5" t="str">
        <f>"9050742"</f>
        <v>9050742</v>
      </c>
      <c r="F1481" s="3" t="s">
        <v>4686</v>
      </c>
      <c r="G1481" s="5">
        <v>2109567741</v>
      </c>
      <c r="H1481" s="4" t="s">
        <v>4687</v>
      </c>
      <c r="I1481" s="4" t="s">
        <v>4659</v>
      </c>
      <c r="J1481" s="4" t="s">
        <v>4660</v>
      </c>
      <c r="K1481" s="4" t="s">
        <v>4688</v>
      </c>
      <c r="L1481" s="5">
        <v>17672</v>
      </c>
    </row>
    <row r="1482" spans="1:12" x14ac:dyDescent="0.25">
      <c r="A1482" s="3" t="s">
        <v>1057</v>
      </c>
      <c r="B1482" s="4" t="s">
        <v>4643</v>
      </c>
      <c r="C1482" s="4" t="s">
        <v>25</v>
      </c>
      <c r="D1482" s="4" t="s">
        <v>26</v>
      </c>
      <c r="E1482" s="5" t="str">
        <f>"9050214"</f>
        <v>9050214</v>
      </c>
      <c r="F1482" s="3" t="s">
        <v>4689</v>
      </c>
      <c r="G1482" s="5">
        <v>2111826351</v>
      </c>
      <c r="H1482" s="4" t="s">
        <v>4690</v>
      </c>
      <c r="I1482" s="4" t="s">
        <v>4659</v>
      </c>
      <c r="J1482" s="4" t="s">
        <v>4660</v>
      </c>
      <c r="K1482" s="4" t="s">
        <v>4691</v>
      </c>
      <c r="L1482" s="5">
        <v>17674</v>
      </c>
    </row>
    <row r="1483" spans="1:12" x14ac:dyDescent="0.25">
      <c r="A1483" s="3" t="s">
        <v>1057</v>
      </c>
      <c r="B1483" s="4" t="s">
        <v>4643</v>
      </c>
      <c r="C1483" s="4" t="s">
        <v>25</v>
      </c>
      <c r="D1483" s="4" t="s">
        <v>26</v>
      </c>
      <c r="E1483" s="5" t="str">
        <f>"9050737"</f>
        <v>9050737</v>
      </c>
      <c r="F1483" s="3" t="s">
        <v>4692</v>
      </c>
      <c r="G1483" s="5">
        <v>2109618727</v>
      </c>
      <c r="H1483" s="4" t="s">
        <v>4693</v>
      </c>
      <c r="I1483" s="4" t="s">
        <v>4654</v>
      </c>
      <c r="J1483" s="4" t="s">
        <v>4694</v>
      </c>
      <c r="K1483" s="4" t="s">
        <v>4695</v>
      </c>
      <c r="L1483" s="5">
        <v>16777</v>
      </c>
    </row>
    <row r="1484" spans="1:12" x14ac:dyDescent="0.25">
      <c r="A1484" s="3" t="s">
        <v>1057</v>
      </c>
      <c r="B1484" s="4" t="s">
        <v>4643</v>
      </c>
      <c r="C1484" s="4" t="s">
        <v>25</v>
      </c>
      <c r="D1484" s="4" t="s">
        <v>26</v>
      </c>
      <c r="E1484" s="5" t="str">
        <f>"9050894"</f>
        <v>9050894</v>
      </c>
      <c r="F1484" s="3" t="s">
        <v>4696</v>
      </c>
      <c r="G1484" s="5">
        <v>2109408528</v>
      </c>
      <c r="H1484" s="4" t="s">
        <v>4697</v>
      </c>
      <c r="I1484" s="4" t="s">
        <v>4679</v>
      </c>
      <c r="J1484" s="4" t="s">
        <v>4698</v>
      </c>
      <c r="K1484" s="4" t="s">
        <v>4699</v>
      </c>
      <c r="L1484" s="5">
        <v>18345</v>
      </c>
    </row>
    <row r="1485" spans="1:12" x14ac:dyDescent="0.25">
      <c r="A1485" s="3" t="s">
        <v>1057</v>
      </c>
      <c r="B1485" s="4" t="s">
        <v>4643</v>
      </c>
      <c r="C1485" s="4" t="s">
        <v>25</v>
      </c>
      <c r="D1485" s="4" t="s">
        <v>26</v>
      </c>
      <c r="E1485" s="5" t="str">
        <f>"9050213"</f>
        <v>9050213</v>
      </c>
      <c r="F1485" s="3" t="s">
        <v>4700</v>
      </c>
      <c r="G1485" s="5">
        <v>2109414959</v>
      </c>
      <c r="H1485" s="4" t="s">
        <v>4701</v>
      </c>
      <c r="I1485" s="4" t="s">
        <v>4659</v>
      </c>
      <c r="J1485" s="4" t="s">
        <v>4660</v>
      </c>
      <c r="K1485" s="4" t="s">
        <v>4702</v>
      </c>
      <c r="L1485" s="5">
        <v>17674</v>
      </c>
    </row>
    <row r="1486" spans="1:12" x14ac:dyDescent="0.25">
      <c r="A1486" s="3" t="s">
        <v>1057</v>
      </c>
      <c r="B1486" s="4" t="s">
        <v>4643</v>
      </c>
      <c r="C1486" s="4" t="s">
        <v>25</v>
      </c>
      <c r="D1486" s="4" t="s">
        <v>26</v>
      </c>
      <c r="E1486" s="5" t="str">
        <f>"9520371"</f>
        <v>9520371</v>
      </c>
      <c r="F1486" s="3" t="s">
        <v>4703</v>
      </c>
      <c r="G1486" s="5">
        <v>2109524639</v>
      </c>
      <c r="H1486" s="4" t="s">
        <v>4704</v>
      </c>
      <c r="I1486" s="4" t="s">
        <v>4659</v>
      </c>
      <c r="J1486" s="4" t="s">
        <v>4660</v>
      </c>
      <c r="K1486" s="4" t="s">
        <v>4705</v>
      </c>
      <c r="L1486" s="5">
        <v>17673</v>
      </c>
    </row>
    <row r="1487" spans="1:12" x14ac:dyDescent="0.25">
      <c r="A1487" s="3" t="s">
        <v>1057</v>
      </c>
      <c r="B1487" s="4" t="s">
        <v>4643</v>
      </c>
      <c r="C1487" s="4" t="s">
        <v>25</v>
      </c>
      <c r="D1487" s="4" t="s">
        <v>26</v>
      </c>
      <c r="E1487" s="5" t="str">
        <f>"9050892"</f>
        <v>9050892</v>
      </c>
      <c r="F1487" s="3" t="s">
        <v>4706</v>
      </c>
      <c r="G1487" s="5">
        <v>2109610810</v>
      </c>
      <c r="H1487" s="4" t="s">
        <v>4707</v>
      </c>
      <c r="I1487" s="4" t="s">
        <v>4646</v>
      </c>
      <c r="J1487" s="4" t="s">
        <v>4647</v>
      </c>
      <c r="K1487" s="4" t="s">
        <v>4708</v>
      </c>
      <c r="L1487" s="5">
        <v>16562</v>
      </c>
    </row>
    <row r="1488" spans="1:12" x14ac:dyDescent="0.25">
      <c r="A1488" s="3" t="s">
        <v>1057</v>
      </c>
      <c r="B1488" s="4" t="s">
        <v>4643</v>
      </c>
      <c r="C1488" s="4" t="s">
        <v>25</v>
      </c>
      <c r="D1488" s="4" t="s">
        <v>26</v>
      </c>
      <c r="E1488" s="5" t="str">
        <f>"9050745"</f>
        <v>9050745</v>
      </c>
      <c r="F1488" s="3" t="s">
        <v>4709</v>
      </c>
      <c r="G1488" s="5">
        <v>6936191013</v>
      </c>
      <c r="H1488" s="4" t="s">
        <v>4710</v>
      </c>
      <c r="I1488" s="4" t="s">
        <v>4659</v>
      </c>
      <c r="J1488" s="4" t="s">
        <v>4660</v>
      </c>
      <c r="K1488" s="4" t="s">
        <v>4711</v>
      </c>
      <c r="L1488" s="5">
        <v>17672</v>
      </c>
    </row>
    <row r="1489" spans="1:12" x14ac:dyDescent="0.25">
      <c r="A1489" s="3" t="s">
        <v>1057</v>
      </c>
      <c r="B1489" s="4" t="s">
        <v>4643</v>
      </c>
      <c r="C1489" s="4" t="s">
        <v>25</v>
      </c>
      <c r="D1489" s="4" t="s">
        <v>26</v>
      </c>
      <c r="E1489" s="5" t="str">
        <f>"9051254"</f>
        <v>9051254</v>
      </c>
      <c r="F1489" s="3" t="s">
        <v>4712</v>
      </c>
      <c r="G1489" s="5">
        <v>2109612665</v>
      </c>
      <c r="H1489" s="4" t="s">
        <v>4713</v>
      </c>
      <c r="I1489" s="4" t="s">
        <v>4646</v>
      </c>
      <c r="J1489" s="4" t="s">
        <v>4647</v>
      </c>
      <c r="K1489" s="4" t="s">
        <v>4714</v>
      </c>
      <c r="L1489" s="5">
        <v>16562</v>
      </c>
    </row>
    <row r="1490" spans="1:12" x14ac:dyDescent="0.25">
      <c r="A1490" s="3" t="s">
        <v>1057</v>
      </c>
      <c r="B1490" s="4" t="s">
        <v>4643</v>
      </c>
      <c r="C1490" s="4" t="s">
        <v>25</v>
      </c>
      <c r="D1490" s="4" t="s">
        <v>26</v>
      </c>
      <c r="E1490" s="5" t="str">
        <f>"9520366"</f>
        <v>9520366</v>
      </c>
      <c r="F1490" s="3" t="s">
        <v>4715</v>
      </c>
      <c r="G1490" s="5">
        <v>2109625874</v>
      </c>
      <c r="H1490" s="4" t="s">
        <v>4716</v>
      </c>
      <c r="I1490" s="4" t="s">
        <v>4646</v>
      </c>
      <c r="J1490" s="4" t="s">
        <v>4647</v>
      </c>
      <c r="K1490" s="4" t="s">
        <v>4717</v>
      </c>
      <c r="L1490" s="5">
        <v>16674</v>
      </c>
    </row>
    <row r="1491" spans="1:12" x14ac:dyDescent="0.25">
      <c r="A1491" s="3" t="s">
        <v>1057</v>
      </c>
      <c r="B1491" s="4" t="s">
        <v>4643</v>
      </c>
      <c r="C1491" s="4" t="s">
        <v>25</v>
      </c>
      <c r="D1491" s="4" t="s">
        <v>26</v>
      </c>
      <c r="E1491" s="5" t="str">
        <f>"9520367"</f>
        <v>9520367</v>
      </c>
      <c r="F1491" s="3" t="s">
        <v>4718</v>
      </c>
      <c r="G1491" s="5">
        <v>2109614080</v>
      </c>
      <c r="H1491" s="4" t="s">
        <v>4719</v>
      </c>
      <c r="I1491" s="4" t="s">
        <v>4646</v>
      </c>
      <c r="J1491" s="4" t="s">
        <v>4647</v>
      </c>
      <c r="K1491" s="4" t="s">
        <v>4720</v>
      </c>
      <c r="L1491" s="5">
        <v>16562</v>
      </c>
    </row>
    <row r="1492" spans="1:12" x14ac:dyDescent="0.25">
      <c r="A1492" s="3" t="s">
        <v>1057</v>
      </c>
      <c r="B1492" s="4" t="s">
        <v>4643</v>
      </c>
      <c r="C1492" s="4" t="s">
        <v>25</v>
      </c>
      <c r="D1492" s="4" t="s">
        <v>26</v>
      </c>
      <c r="E1492" s="5" t="str">
        <f>"9520413"</f>
        <v>9520413</v>
      </c>
      <c r="F1492" s="3" t="s">
        <v>4721</v>
      </c>
      <c r="G1492" s="5">
        <v>2109533401</v>
      </c>
      <c r="H1492" s="4" t="s">
        <v>4722</v>
      </c>
      <c r="I1492" s="4" t="s">
        <v>4659</v>
      </c>
      <c r="J1492" s="4" t="s">
        <v>4660</v>
      </c>
      <c r="K1492" s="4" t="s">
        <v>4723</v>
      </c>
      <c r="L1492" s="5">
        <v>17676</v>
      </c>
    </row>
    <row r="1493" spans="1:12" x14ac:dyDescent="0.25">
      <c r="A1493" s="3" t="s">
        <v>1057</v>
      </c>
      <c r="B1493" s="4" t="s">
        <v>4643</v>
      </c>
      <c r="C1493" s="4" t="s">
        <v>25</v>
      </c>
      <c r="D1493" s="4" t="s">
        <v>26</v>
      </c>
      <c r="E1493" s="5" t="str">
        <f>"9520447"</f>
        <v>9520447</v>
      </c>
      <c r="F1493" s="3" t="s">
        <v>4724</v>
      </c>
      <c r="G1493" s="5">
        <v>2109934498</v>
      </c>
      <c r="H1493" s="4" t="s">
        <v>4725</v>
      </c>
      <c r="I1493" s="4" t="s">
        <v>4654</v>
      </c>
      <c r="J1493" s="4" t="s">
        <v>4655</v>
      </c>
      <c r="K1493" s="4" t="s">
        <v>4726</v>
      </c>
      <c r="L1493" s="5">
        <v>16451</v>
      </c>
    </row>
    <row r="1494" spans="1:12" x14ac:dyDescent="0.25">
      <c r="A1494" s="3" t="s">
        <v>1057</v>
      </c>
      <c r="B1494" s="4" t="s">
        <v>4643</v>
      </c>
      <c r="C1494" s="4" t="s">
        <v>25</v>
      </c>
      <c r="D1494" s="4" t="s">
        <v>26</v>
      </c>
      <c r="E1494" s="5" t="str">
        <f>"9520415"</f>
        <v>9520415</v>
      </c>
      <c r="F1494" s="3" t="s">
        <v>4727</v>
      </c>
      <c r="G1494" s="5">
        <v>2109418008</v>
      </c>
      <c r="H1494" s="4" t="s">
        <v>4728</v>
      </c>
      <c r="I1494" s="4" t="s">
        <v>4659</v>
      </c>
      <c r="J1494" s="4" t="s">
        <v>4660</v>
      </c>
      <c r="K1494" s="4" t="s">
        <v>4729</v>
      </c>
      <c r="L1494" s="5">
        <v>17675</v>
      </c>
    </row>
    <row r="1495" spans="1:12" x14ac:dyDescent="0.25">
      <c r="A1495" s="3" t="s">
        <v>1057</v>
      </c>
      <c r="B1495" s="4" t="s">
        <v>4643</v>
      </c>
      <c r="C1495" s="4" t="s">
        <v>25</v>
      </c>
      <c r="D1495" s="4" t="s">
        <v>26</v>
      </c>
      <c r="E1495" s="5" t="str">
        <f>"9050744"</f>
        <v>9050744</v>
      </c>
      <c r="F1495" s="3" t="s">
        <v>4730</v>
      </c>
      <c r="G1495" s="5">
        <v>2109580571</v>
      </c>
      <c r="H1495" s="4" t="s">
        <v>4731</v>
      </c>
      <c r="I1495" s="4" t="s">
        <v>4659</v>
      </c>
      <c r="J1495" s="4" t="s">
        <v>4660</v>
      </c>
      <c r="K1495" s="4" t="s">
        <v>4732</v>
      </c>
      <c r="L1495" s="5">
        <v>17672</v>
      </c>
    </row>
    <row r="1496" spans="1:12" x14ac:dyDescent="0.25">
      <c r="A1496" s="3" t="s">
        <v>1057</v>
      </c>
      <c r="B1496" s="4" t="s">
        <v>4643</v>
      </c>
      <c r="C1496" s="4" t="s">
        <v>25</v>
      </c>
      <c r="D1496" s="4" t="s">
        <v>26</v>
      </c>
      <c r="E1496" s="5" t="str">
        <f>"9520537"</f>
        <v>9520537</v>
      </c>
      <c r="F1496" s="3" t="s">
        <v>4733</v>
      </c>
      <c r="G1496" s="5">
        <v>2109524422</v>
      </c>
      <c r="H1496" s="4" t="s">
        <v>4734</v>
      </c>
      <c r="I1496" s="4" t="s">
        <v>4659</v>
      </c>
      <c r="J1496" s="4" t="s">
        <v>4660</v>
      </c>
      <c r="K1496" s="4" t="s">
        <v>4735</v>
      </c>
      <c r="L1496" s="5">
        <v>17675</v>
      </c>
    </row>
    <row r="1497" spans="1:12" x14ac:dyDescent="0.25">
      <c r="A1497" s="3" t="s">
        <v>1057</v>
      </c>
      <c r="B1497" s="4" t="s">
        <v>4643</v>
      </c>
      <c r="C1497" s="4" t="s">
        <v>25</v>
      </c>
      <c r="D1497" s="4" t="s">
        <v>26</v>
      </c>
      <c r="E1497" s="5" t="str">
        <f>"9051886"</f>
        <v>9051886</v>
      </c>
      <c r="F1497" s="3" t="s">
        <v>4736</v>
      </c>
      <c r="G1497" s="5">
        <v>2104821150</v>
      </c>
      <c r="H1497" s="4" t="s">
        <v>4737</v>
      </c>
      <c r="I1497" s="4" t="s">
        <v>4679</v>
      </c>
      <c r="J1497" s="4" t="s">
        <v>4698</v>
      </c>
      <c r="K1497" s="4" t="s">
        <v>4738</v>
      </c>
      <c r="L1497" s="5">
        <v>18344</v>
      </c>
    </row>
    <row r="1498" spans="1:12" x14ac:dyDescent="0.25">
      <c r="A1498" s="3" t="s">
        <v>1057</v>
      </c>
      <c r="B1498" s="4" t="s">
        <v>4643</v>
      </c>
      <c r="C1498" s="4" t="s">
        <v>25</v>
      </c>
      <c r="D1498" s="4" t="s">
        <v>26</v>
      </c>
      <c r="E1498" s="5" t="str">
        <f>"9520538"</f>
        <v>9520538</v>
      </c>
      <c r="F1498" s="3" t="s">
        <v>4739</v>
      </c>
      <c r="G1498" s="5">
        <v>2109566750</v>
      </c>
      <c r="H1498" s="4" t="s">
        <v>4740</v>
      </c>
      <c r="I1498" s="4" t="s">
        <v>4659</v>
      </c>
      <c r="J1498" s="4" t="s">
        <v>4660</v>
      </c>
      <c r="K1498" s="4" t="s">
        <v>4741</v>
      </c>
      <c r="L1498" s="5">
        <v>17675</v>
      </c>
    </row>
    <row r="1499" spans="1:12" x14ac:dyDescent="0.25">
      <c r="A1499" s="3" t="s">
        <v>1057</v>
      </c>
      <c r="B1499" s="4" t="s">
        <v>4643</v>
      </c>
      <c r="C1499" s="4" t="s">
        <v>25</v>
      </c>
      <c r="D1499" s="4" t="s">
        <v>26</v>
      </c>
      <c r="E1499" s="5" t="str">
        <f>"9051074"</f>
        <v>9051074</v>
      </c>
      <c r="F1499" s="3" t="s">
        <v>4742</v>
      </c>
      <c r="G1499" s="5">
        <v>2109582827</v>
      </c>
      <c r="H1499" s="4" t="s">
        <v>4743</v>
      </c>
      <c r="I1499" s="4" t="s">
        <v>4659</v>
      </c>
      <c r="J1499" s="4" t="s">
        <v>4660</v>
      </c>
      <c r="K1499" s="4" t="s">
        <v>4744</v>
      </c>
      <c r="L1499" s="5">
        <v>17675</v>
      </c>
    </row>
    <row r="1500" spans="1:12" x14ac:dyDescent="0.25">
      <c r="A1500" s="3" t="s">
        <v>1057</v>
      </c>
      <c r="B1500" s="4" t="s">
        <v>4643</v>
      </c>
      <c r="C1500" s="4" t="s">
        <v>25</v>
      </c>
      <c r="D1500" s="4" t="s">
        <v>26</v>
      </c>
      <c r="E1500" s="5" t="str">
        <f>"9050747"</f>
        <v>9050747</v>
      </c>
      <c r="F1500" s="3" t="s">
        <v>4745</v>
      </c>
      <c r="G1500" s="5">
        <v>2104834238</v>
      </c>
      <c r="H1500" s="4" t="s">
        <v>4746</v>
      </c>
      <c r="I1500" s="4" t="s">
        <v>4679</v>
      </c>
      <c r="J1500" s="4" t="s">
        <v>4698</v>
      </c>
      <c r="K1500" s="4" t="s">
        <v>4747</v>
      </c>
      <c r="L1500" s="5">
        <v>18345</v>
      </c>
    </row>
    <row r="1501" spans="1:12" x14ac:dyDescent="0.25">
      <c r="A1501" s="3" t="s">
        <v>1057</v>
      </c>
      <c r="B1501" s="4" t="s">
        <v>4643</v>
      </c>
      <c r="C1501" s="4" t="s">
        <v>14</v>
      </c>
      <c r="D1501" s="4" t="s">
        <v>15</v>
      </c>
      <c r="E1501" s="5" t="str">
        <f>"9050674"</f>
        <v>9050674</v>
      </c>
      <c r="F1501" s="3" t="s">
        <v>4748</v>
      </c>
      <c r="G1501" s="5">
        <v>2109922212</v>
      </c>
      <c r="H1501" s="4" t="s">
        <v>4749</v>
      </c>
      <c r="I1501" s="4" t="s">
        <v>4654</v>
      </c>
      <c r="J1501" s="4" t="s">
        <v>4655</v>
      </c>
      <c r="K1501" s="4" t="s">
        <v>4750</v>
      </c>
      <c r="L1501" s="5">
        <v>16451</v>
      </c>
    </row>
    <row r="1502" spans="1:12" x14ac:dyDescent="0.25">
      <c r="A1502" s="3" t="s">
        <v>1057</v>
      </c>
      <c r="B1502" s="4" t="s">
        <v>4643</v>
      </c>
      <c r="C1502" s="4" t="s">
        <v>14</v>
      </c>
      <c r="D1502" s="4" t="s">
        <v>15</v>
      </c>
      <c r="E1502" s="5" t="str">
        <f>"9050143"</f>
        <v>9050143</v>
      </c>
      <c r="F1502" s="3" t="s">
        <v>4751</v>
      </c>
      <c r="G1502" s="5">
        <v>2109700154</v>
      </c>
      <c r="H1502" s="4" t="s">
        <v>4752</v>
      </c>
      <c r="I1502" s="4" t="s">
        <v>4753</v>
      </c>
      <c r="J1502" s="4" t="s">
        <v>4754</v>
      </c>
      <c r="K1502" s="4" t="s">
        <v>4755</v>
      </c>
      <c r="L1502" s="5">
        <v>17342</v>
      </c>
    </row>
    <row r="1503" spans="1:12" x14ac:dyDescent="0.25">
      <c r="A1503" s="3" t="s">
        <v>1057</v>
      </c>
      <c r="B1503" s="4" t="s">
        <v>4643</v>
      </c>
      <c r="C1503" s="4" t="s">
        <v>25</v>
      </c>
      <c r="D1503" s="4" t="s">
        <v>26</v>
      </c>
      <c r="E1503" s="5" t="str">
        <f>"9520430"</f>
        <v>9520430</v>
      </c>
      <c r="F1503" s="3" t="s">
        <v>4756</v>
      </c>
      <c r="G1503" s="5">
        <v>2109716655</v>
      </c>
      <c r="H1503" s="4" t="s">
        <v>4757</v>
      </c>
      <c r="I1503" s="4" t="s">
        <v>4758</v>
      </c>
      <c r="J1503" s="4" t="s">
        <v>4759</v>
      </c>
      <c r="K1503" s="4" t="s">
        <v>4760</v>
      </c>
      <c r="L1503" s="5">
        <v>17124</v>
      </c>
    </row>
    <row r="1504" spans="1:12" x14ac:dyDescent="0.25">
      <c r="A1504" s="3" t="s">
        <v>1057</v>
      </c>
      <c r="B1504" s="4" t="s">
        <v>4643</v>
      </c>
      <c r="C1504" s="4" t="s">
        <v>14</v>
      </c>
      <c r="D1504" s="4" t="s">
        <v>15</v>
      </c>
      <c r="E1504" s="5" t="str">
        <f>"9050219"</f>
        <v>9050219</v>
      </c>
      <c r="F1504" s="3" t="s">
        <v>4761</v>
      </c>
      <c r="G1504" s="5">
        <v>2109564944</v>
      </c>
      <c r="H1504" s="4" t="s">
        <v>4762</v>
      </c>
      <c r="I1504" s="4" t="s">
        <v>4659</v>
      </c>
      <c r="J1504" s="4" t="s">
        <v>4660</v>
      </c>
      <c r="K1504" s="4" t="s">
        <v>4667</v>
      </c>
      <c r="L1504" s="5">
        <v>17671</v>
      </c>
    </row>
    <row r="1505" spans="1:12" x14ac:dyDescent="0.25">
      <c r="A1505" s="3" t="s">
        <v>1057</v>
      </c>
      <c r="B1505" s="4" t="s">
        <v>4643</v>
      </c>
      <c r="C1505" s="4" t="s">
        <v>14</v>
      </c>
      <c r="D1505" s="4" t="s">
        <v>15</v>
      </c>
      <c r="E1505" s="5" t="str">
        <f>"9050238"</f>
        <v>9050238</v>
      </c>
      <c r="F1505" s="3" t="s">
        <v>4763</v>
      </c>
      <c r="G1505" s="5">
        <v>2109334200</v>
      </c>
      <c r="H1505" s="4" t="s">
        <v>4764</v>
      </c>
      <c r="I1505" s="4" t="s">
        <v>4758</v>
      </c>
      <c r="J1505" s="4" t="s">
        <v>4765</v>
      </c>
      <c r="K1505" s="4" t="s">
        <v>4766</v>
      </c>
      <c r="L1505" s="5">
        <v>17121</v>
      </c>
    </row>
    <row r="1506" spans="1:12" x14ac:dyDescent="0.25">
      <c r="A1506" s="3" t="s">
        <v>1057</v>
      </c>
      <c r="B1506" s="4" t="s">
        <v>4643</v>
      </c>
      <c r="C1506" s="4" t="s">
        <v>14</v>
      </c>
      <c r="D1506" s="4" t="s">
        <v>15</v>
      </c>
      <c r="E1506" s="5" t="str">
        <f>"9050228"</f>
        <v>9050228</v>
      </c>
      <c r="F1506" s="3" t="s">
        <v>4767</v>
      </c>
      <c r="G1506" s="5">
        <v>2109417091</v>
      </c>
      <c r="H1506" s="4" t="s">
        <v>4768</v>
      </c>
      <c r="I1506" s="4" t="s">
        <v>4679</v>
      </c>
      <c r="J1506" s="4" t="s">
        <v>4698</v>
      </c>
      <c r="K1506" s="4" t="s">
        <v>4769</v>
      </c>
      <c r="L1506" s="5">
        <v>18344</v>
      </c>
    </row>
    <row r="1507" spans="1:12" ht="30" x14ac:dyDescent="0.25">
      <c r="A1507" s="3" t="s">
        <v>1057</v>
      </c>
      <c r="B1507" s="4" t="s">
        <v>4643</v>
      </c>
      <c r="C1507" s="4" t="s">
        <v>14</v>
      </c>
      <c r="D1507" s="4" t="s">
        <v>15</v>
      </c>
      <c r="E1507" s="5" t="str">
        <f>"9051343"</f>
        <v>9051343</v>
      </c>
      <c r="F1507" s="3" t="s">
        <v>4770</v>
      </c>
      <c r="G1507" s="5">
        <v>2109832230</v>
      </c>
      <c r="H1507" s="4" t="s">
        <v>4771</v>
      </c>
      <c r="I1507" s="4" t="s">
        <v>4772</v>
      </c>
      <c r="J1507" s="4" t="s">
        <v>4773</v>
      </c>
      <c r="K1507" s="4" t="s">
        <v>4774</v>
      </c>
      <c r="L1507" s="5">
        <v>17563</v>
      </c>
    </row>
    <row r="1508" spans="1:12" x14ac:dyDescent="0.25">
      <c r="A1508" s="3" t="s">
        <v>1057</v>
      </c>
      <c r="B1508" s="4" t="s">
        <v>4643</v>
      </c>
      <c r="C1508" s="4" t="s">
        <v>25</v>
      </c>
      <c r="D1508" s="4" t="s">
        <v>26</v>
      </c>
      <c r="E1508" s="5" t="str">
        <f>"9050200"</f>
        <v>9050200</v>
      </c>
      <c r="F1508" s="3" t="s">
        <v>4775</v>
      </c>
      <c r="G1508" s="5">
        <v>2109836588</v>
      </c>
      <c r="H1508" s="4" t="s">
        <v>4776</v>
      </c>
      <c r="I1508" s="4" t="s">
        <v>4772</v>
      </c>
      <c r="J1508" s="4" t="s">
        <v>4777</v>
      </c>
      <c r="K1508" s="4" t="s">
        <v>4778</v>
      </c>
      <c r="L1508" s="5">
        <v>17561</v>
      </c>
    </row>
    <row r="1509" spans="1:12" x14ac:dyDescent="0.25">
      <c r="A1509" s="3" t="s">
        <v>1057</v>
      </c>
      <c r="B1509" s="4" t="s">
        <v>4643</v>
      </c>
      <c r="C1509" s="4" t="s">
        <v>14</v>
      </c>
      <c r="D1509" s="4" t="s">
        <v>15</v>
      </c>
      <c r="E1509" s="5" t="str">
        <f>"9050969"</f>
        <v>9050969</v>
      </c>
      <c r="F1509" s="3" t="s">
        <v>4779</v>
      </c>
      <c r="G1509" s="5">
        <v>2109614248</v>
      </c>
      <c r="H1509" s="4" t="s">
        <v>4780</v>
      </c>
      <c r="I1509" s="4" t="s">
        <v>4654</v>
      </c>
      <c r="J1509" s="4" t="s">
        <v>4655</v>
      </c>
      <c r="K1509" s="4" t="s">
        <v>4781</v>
      </c>
      <c r="L1509" s="5">
        <v>16452</v>
      </c>
    </row>
    <row r="1510" spans="1:12" x14ac:dyDescent="0.25">
      <c r="A1510" s="3" t="s">
        <v>1057</v>
      </c>
      <c r="B1510" s="4" t="s">
        <v>4643</v>
      </c>
      <c r="C1510" s="4" t="s">
        <v>14</v>
      </c>
      <c r="D1510" s="4" t="s">
        <v>15</v>
      </c>
      <c r="E1510" s="5" t="str">
        <f>"9050212"</f>
        <v>9050212</v>
      </c>
      <c r="F1510" s="3" t="s">
        <v>4782</v>
      </c>
      <c r="G1510" s="5">
        <v>2109565130</v>
      </c>
      <c r="H1510" s="4" t="s">
        <v>4783</v>
      </c>
      <c r="I1510" s="4" t="s">
        <v>4659</v>
      </c>
      <c r="J1510" s="4" t="s">
        <v>4660</v>
      </c>
      <c r="K1510" s="4" t="s">
        <v>4784</v>
      </c>
      <c r="L1510" s="5">
        <v>17676</v>
      </c>
    </row>
    <row r="1511" spans="1:12" x14ac:dyDescent="0.25">
      <c r="A1511" s="3" t="s">
        <v>1057</v>
      </c>
      <c r="B1511" s="4" t="s">
        <v>4643</v>
      </c>
      <c r="C1511" s="4" t="s">
        <v>14</v>
      </c>
      <c r="D1511" s="4" t="s">
        <v>15</v>
      </c>
      <c r="E1511" s="5" t="str">
        <f>"9050137"</f>
        <v>9050137</v>
      </c>
      <c r="F1511" s="3" t="s">
        <v>4785</v>
      </c>
      <c r="G1511" s="5">
        <v>2109818850</v>
      </c>
      <c r="H1511" s="4" t="s">
        <v>4786</v>
      </c>
      <c r="I1511" s="4" t="s">
        <v>4772</v>
      </c>
      <c r="J1511" s="4" t="s">
        <v>4787</v>
      </c>
      <c r="K1511" s="4" t="s">
        <v>4788</v>
      </c>
      <c r="L1511" s="5">
        <v>17563</v>
      </c>
    </row>
    <row r="1512" spans="1:12" x14ac:dyDescent="0.25">
      <c r="A1512" s="3" t="s">
        <v>1057</v>
      </c>
      <c r="B1512" s="4" t="s">
        <v>4643</v>
      </c>
      <c r="C1512" s="4" t="s">
        <v>14</v>
      </c>
      <c r="D1512" s="4" t="s">
        <v>15</v>
      </c>
      <c r="E1512" s="5" t="str">
        <f>"9050836"</f>
        <v>9050836</v>
      </c>
      <c r="F1512" s="3" t="s">
        <v>4789</v>
      </c>
      <c r="G1512" s="5">
        <v>2109614827</v>
      </c>
      <c r="H1512" s="4" t="s">
        <v>4790</v>
      </c>
      <c r="I1512" s="4" t="s">
        <v>4646</v>
      </c>
      <c r="J1512" s="4" t="s">
        <v>4647</v>
      </c>
      <c r="K1512" s="4" t="s">
        <v>4791</v>
      </c>
      <c r="L1512" s="5">
        <v>16561</v>
      </c>
    </row>
    <row r="1513" spans="1:12" x14ac:dyDescent="0.25">
      <c r="A1513" s="3" t="s">
        <v>1057</v>
      </c>
      <c r="B1513" s="4" t="s">
        <v>4643</v>
      </c>
      <c r="C1513" s="4" t="s">
        <v>14</v>
      </c>
      <c r="D1513" s="4" t="s">
        <v>15</v>
      </c>
      <c r="E1513" s="5" t="str">
        <f>"9051336"</f>
        <v>9051336</v>
      </c>
      <c r="F1513" s="3" t="s">
        <v>4792</v>
      </c>
      <c r="G1513" s="5">
        <v>2109584235</v>
      </c>
      <c r="H1513" s="4" t="s">
        <v>4793</v>
      </c>
      <c r="I1513" s="4" t="s">
        <v>4659</v>
      </c>
      <c r="J1513" s="4" t="s">
        <v>4660</v>
      </c>
      <c r="K1513" s="4" t="s">
        <v>4794</v>
      </c>
      <c r="L1513" s="5">
        <v>17672</v>
      </c>
    </row>
    <row r="1514" spans="1:12" x14ac:dyDescent="0.25">
      <c r="A1514" s="3" t="s">
        <v>1057</v>
      </c>
      <c r="B1514" s="4" t="s">
        <v>4643</v>
      </c>
      <c r="C1514" s="4" t="s">
        <v>25</v>
      </c>
      <c r="D1514" s="4" t="s">
        <v>26</v>
      </c>
      <c r="E1514" s="5" t="str">
        <f>"9050210"</f>
        <v>9050210</v>
      </c>
      <c r="F1514" s="3" t="s">
        <v>4795</v>
      </c>
      <c r="G1514" s="5">
        <v>2109423111</v>
      </c>
      <c r="H1514" s="4" t="s">
        <v>4796</v>
      </c>
      <c r="I1514" s="4" t="s">
        <v>4659</v>
      </c>
      <c r="J1514" s="4" t="s">
        <v>4660</v>
      </c>
      <c r="K1514" s="4" t="s">
        <v>4797</v>
      </c>
      <c r="L1514" s="5">
        <v>17674</v>
      </c>
    </row>
    <row r="1515" spans="1:12" x14ac:dyDescent="0.25">
      <c r="A1515" s="3" t="s">
        <v>1057</v>
      </c>
      <c r="B1515" s="4" t="s">
        <v>4643</v>
      </c>
      <c r="C1515" s="4" t="s">
        <v>14</v>
      </c>
      <c r="D1515" s="4" t="s">
        <v>15</v>
      </c>
      <c r="E1515" s="5" t="str">
        <f>"9050182"</f>
        <v>9050182</v>
      </c>
      <c r="F1515" s="3" t="s">
        <v>4798</v>
      </c>
      <c r="G1515" s="5">
        <v>2109328853</v>
      </c>
      <c r="H1515" s="4" t="s">
        <v>4799</v>
      </c>
      <c r="I1515" s="4" t="s">
        <v>4772</v>
      </c>
      <c r="J1515" s="4" t="s">
        <v>4787</v>
      </c>
      <c r="K1515" s="4" t="s">
        <v>4800</v>
      </c>
      <c r="L1515" s="5">
        <v>17564</v>
      </c>
    </row>
    <row r="1516" spans="1:12" x14ac:dyDescent="0.25">
      <c r="A1516" s="3" t="s">
        <v>1057</v>
      </c>
      <c r="B1516" s="4" t="s">
        <v>4643</v>
      </c>
      <c r="C1516" s="4" t="s">
        <v>14</v>
      </c>
      <c r="D1516" s="4" t="s">
        <v>15</v>
      </c>
      <c r="E1516" s="5" t="str">
        <f>"9051164"</f>
        <v>9051164</v>
      </c>
      <c r="F1516" s="3" t="s">
        <v>4801</v>
      </c>
      <c r="G1516" s="5">
        <v>2109580133</v>
      </c>
      <c r="H1516" s="4" t="s">
        <v>4802</v>
      </c>
      <c r="I1516" s="4" t="s">
        <v>4659</v>
      </c>
      <c r="J1516" s="4" t="s">
        <v>4660</v>
      </c>
      <c r="K1516" s="4" t="s">
        <v>4803</v>
      </c>
      <c r="L1516" s="5">
        <v>17676</v>
      </c>
    </row>
    <row r="1517" spans="1:12" x14ac:dyDescent="0.25">
      <c r="A1517" s="3" t="s">
        <v>1057</v>
      </c>
      <c r="B1517" s="4" t="s">
        <v>4643</v>
      </c>
      <c r="C1517" s="4" t="s">
        <v>14</v>
      </c>
      <c r="D1517" s="4" t="s">
        <v>15</v>
      </c>
      <c r="E1517" s="5" t="str">
        <f>"9050672"</f>
        <v>9050672</v>
      </c>
      <c r="F1517" s="3" t="s">
        <v>4804</v>
      </c>
      <c r="G1517" s="5">
        <v>2109733211</v>
      </c>
      <c r="H1517" s="4" t="s">
        <v>4805</v>
      </c>
      <c r="I1517" s="4" t="s">
        <v>4753</v>
      </c>
      <c r="J1517" s="4" t="s">
        <v>4806</v>
      </c>
      <c r="K1517" s="4" t="s">
        <v>4807</v>
      </c>
      <c r="L1517" s="5">
        <v>17343</v>
      </c>
    </row>
    <row r="1518" spans="1:12" x14ac:dyDescent="0.25">
      <c r="A1518" s="3" t="s">
        <v>1057</v>
      </c>
      <c r="B1518" s="4" t="s">
        <v>4643</v>
      </c>
      <c r="C1518" s="4" t="s">
        <v>14</v>
      </c>
      <c r="D1518" s="4" t="s">
        <v>15</v>
      </c>
      <c r="E1518" s="5" t="str">
        <f>"9050224"</f>
        <v>9050224</v>
      </c>
      <c r="F1518" s="3" t="s">
        <v>4808</v>
      </c>
      <c r="G1518" s="5">
        <v>2109581036</v>
      </c>
      <c r="H1518" s="4" t="s">
        <v>4809</v>
      </c>
      <c r="I1518" s="4" t="s">
        <v>4659</v>
      </c>
      <c r="J1518" s="4" t="s">
        <v>4660</v>
      </c>
      <c r="K1518" s="4" t="s">
        <v>4667</v>
      </c>
      <c r="L1518" s="5">
        <v>17671</v>
      </c>
    </row>
    <row r="1519" spans="1:12" x14ac:dyDescent="0.25">
      <c r="A1519" s="3" t="s">
        <v>1057</v>
      </c>
      <c r="B1519" s="4" t="s">
        <v>4643</v>
      </c>
      <c r="C1519" s="4" t="s">
        <v>14</v>
      </c>
      <c r="D1519" s="4" t="s">
        <v>15</v>
      </c>
      <c r="E1519" s="5" t="str">
        <f>"9520407"</f>
        <v>9520407</v>
      </c>
      <c r="F1519" s="3" t="s">
        <v>4810</v>
      </c>
      <c r="G1519" s="5">
        <v>2109530230</v>
      </c>
      <c r="H1519" s="4" t="s">
        <v>4811</v>
      </c>
      <c r="I1519" s="4" t="s">
        <v>4659</v>
      </c>
      <c r="J1519" s="4" t="s">
        <v>4812</v>
      </c>
      <c r="K1519" s="4" t="s">
        <v>4813</v>
      </c>
      <c r="L1519" s="5">
        <v>17675</v>
      </c>
    </row>
    <row r="1520" spans="1:12" x14ac:dyDescent="0.25">
      <c r="A1520" s="3" t="s">
        <v>1057</v>
      </c>
      <c r="B1520" s="4" t="s">
        <v>4643</v>
      </c>
      <c r="C1520" s="4" t="s">
        <v>25</v>
      </c>
      <c r="D1520" s="4" t="s">
        <v>26</v>
      </c>
      <c r="E1520" s="5" t="str">
        <f>"9051919"</f>
        <v>9051919</v>
      </c>
      <c r="F1520" s="3" t="s">
        <v>4814</v>
      </c>
      <c r="G1520" s="5">
        <v>2109855095</v>
      </c>
      <c r="H1520" s="4" t="s">
        <v>4815</v>
      </c>
      <c r="I1520" s="4" t="s">
        <v>4772</v>
      </c>
      <c r="J1520" s="4" t="s">
        <v>4787</v>
      </c>
      <c r="K1520" s="4" t="s">
        <v>4816</v>
      </c>
      <c r="L1520" s="5">
        <v>17564</v>
      </c>
    </row>
    <row r="1521" spans="1:12" x14ac:dyDescent="0.25">
      <c r="A1521" s="3" t="s">
        <v>1057</v>
      </c>
      <c r="B1521" s="4" t="s">
        <v>4643</v>
      </c>
      <c r="C1521" s="4" t="s">
        <v>14</v>
      </c>
      <c r="D1521" s="4" t="s">
        <v>15</v>
      </c>
      <c r="E1521" s="5" t="str">
        <f>"9050675"</f>
        <v>9050675</v>
      </c>
      <c r="F1521" s="3" t="s">
        <v>4817</v>
      </c>
      <c r="G1521" s="5">
        <v>2109582161</v>
      </c>
      <c r="H1521" s="4" t="s">
        <v>4818</v>
      </c>
      <c r="I1521" s="4" t="s">
        <v>4659</v>
      </c>
      <c r="J1521" s="4" t="s">
        <v>4660</v>
      </c>
      <c r="K1521" s="4" t="s">
        <v>4819</v>
      </c>
      <c r="L1521" s="5">
        <v>17675</v>
      </c>
    </row>
    <row r="1522" spans="1:12" x14ac:dyDescent="0.25">
      <c r="A1522" s="3" t="s">
        <v>1057</v>
      </c>
      <c r="B1522" s="4" t="s">
        <v>4643</v>
      </c>
      <c r="C1522" s="4" t="s">
        <v>14</v>
      </c>
      <c r="D1522" s="4" t="s">
        <v>15</v>
      </c>
      <c r="E1522" s="5" t="str">
        <f>"9050146"</f>
        <v>9050146</v>
      </c>
      <c r="F1522" s="3" t="s">
        <v>4820</v>
      </c>
      <c r="G1522" s="5">
        <v>2109911615</v>
      </c>
      <c r="H1522" s="4" t="s">
        <v>4821</v>
      </c>
      <c r="I1522" s="4" t="s">
        <v>4753</v>
      </c>
      <c r="J1522" s="4" t="s">
        <v>4754</v>
      </c>
      <c r="K1522" s="4" t="s">
        <v>4822</v>
      </c>
      <c r="L1522" s="5">
        <v>17342</v>
      </c>
    </row>
    <row r="1523" spans="1:12" x14ac:dyDescent="0.25">
      <c r="A1523" s="3" t="s">
        <v>1057</v>
      </c>
      <c r="B1523" s="4" t="s">
        <v>4643</v>
      </c>
      <c r="C1523" s="4" t="s">
        <v>14</v>
      </c>
      <c r="D1523" s="4" t="s">
        <v>15</v>
      </c>
      <c r="E1523" s="5" t="str">
        <f>"9051165"</f>
        <v>9051165</v>
      </c>
      <c r="F1523" s="3" t="s">
        <v>4823</v>
      </c>
      <c r="G1523" s="5">
        <v>2109410172</v>
      </c>
      <c r="H1523" s="4" t="s">
        <v>4824</v>
      </c>
      <c r="I1523" s="4" t="s">
        <v>4679</v>
      </c>
      <c r="J1523" s="4" t="s">
        <v>4698</v>
      </c>
      <c r="K1523" s="4" t="s">
        <v>4825</v>
      </c>
      <c r="L1523" s="5">
        <v>18345</v>
      </c>
    </row>
    <row r="1524" spans="1:12" x14ac:dyDescent="0.25">
      <c r="A1524" s="3" t="s">
        <v>1057</v>
      </c>
      <c r="B1524" s="4" t="s">
        <v>4643</v>
      </c>
      <c r="C1524" s="4" t="s">
        <v>14</v>
      </c>
      <c r="D1524" s="4" t="s">
        <v>15</v>
      </c>
      <c r="E1524" s="5" t="str">
        <f>"9050176"</f>
        <v>9050176</v>
      </c>
      <c r="F1524" s="3" t="s">
        <v>4826</v>
      </c>
      <c r="G1524" s="5">
        <v>2109922215</v>
      </c>
      <c r="H1524" s="4" t="s">
        <v>4827</v>
      </c>
      <c r="I1524" s="4" t="s">
        <v>4828</v>
      </c>
      <c r="J1524" s="4" t="s">
        <v>4829</v>
      </c>
      <c r="K1524" s="4" t="s">
        <v>4830</v>
      </c>
      <c r="L1524" s="5">
        <v>17456</v>
      </c>
    </row>
    <row r="1525" spans="1:12" x14ac:dyDescent="0.25">
      <c r="A1525" s="3" t="s">
        <v>1057</v>
      </c>
      <c r="B1525" s="4" t="s">
        <v>4643</v>
      </c>
      <c r="C1525" s="4" t="s">
        <v>25</v>
      </c>
      <c r="D1525" s="4" t="s">
        <v>26</v>
      </c>
      <c r="E1525" s="5" t="str">
        <f>"9050739"</f>
        <v>9050739</v>
      </c>
      <c r="F1525" s="3" t="s">
        <v>4831</v>
      </c>
      <c r="G1525" s="5">
        <v>2109530090</v>
      </c>
      <c r="H1525" s="4" t="s">
        <v>4832</v>
      </c>
      <c r="I1525" s="4" t="s">
        <v>4659</v>
      </c>
      <c r="J1525" s="4" t="s">
        <v>4660</v>
      </c>
      <c r="K1525" s="4" t="s">
        <v>4833</v>
      </c>
      <c r="L1525" s="5">
        <v>17673</v>
      </c>
    </row>
    <row r="1526" spans="1:12" x14ac:dyDescent="0.25">
      <c r="A1526" s="3" t="s">
        <v>1057</v>
      </c>
      <c r="B1526" s="4" t="s">
        <v>4643</v>
      </c>
      <c r="C1526" s="4" t="s">
        <v>14</v>
      </c>
      <c r="D1526" s="4" t="s">
        <v>15</v>
      </c>
      <c r="E1526" s="5" t="str">
        <f>"9050181"</f>
        <v>9050181</v>
      </c>
      <c r="F1526" s="3" t="s">
        <v>4834</v>
      </c>
      <c r="G1526" s="5">
        <v>2109416773</v>
      </c>
      <c r="H1526" s="4" t="s">
        <v>4835</v>
      </c>
      <c r="I1526" s="4" t="s">
        <v>4772</v>
      </c>
      <c r="J1526" s="4" t="s">
        <v>4773</v>
      </c>
      <c r="K1526" s="4" t="s">
        <v>4836</v>
      </c>
      <c r="L1526" s="5">
        <v>17564</v>
      </c>
    </row>
    <row r="1527" spans="1:12" x14ac:dyDescent="0.25">
      <c r="A1527" s="3" t="s">
        <v>1057</v>
      </c>
      <c r="B1527" s="4" t="s">
        <v>4643</v>
      </c>
      <c r="C1527" s="4" t="s">
        <v>25</v>
      </c>
      <c r="D1527" s="4" t="s">
        <v>26</v>
      </c>
      <c r="E1527" s="5" t="str">
        <f>"9051250"</f>
        <v>9051250</v>
      </c>
      <c r="F1527" s="3" t="s">
        <v>4837</v>
      </c>
      <c r="G1527" s="5">
        <v>2109839655</v>
      </c>
      <c r="H1527" s="4" t="s">
        <v>4838</v>
      </c>
      <c r="I1527" s="4" t="s">
        <v>4828</v>
      </c>
      <c r="J1527" s="4" t="s">
        <v>4829</v>
      </c>
      <c r="K1527" s="4" t="s">
        <v>4839</v>
      </c>
      <c r="L1527" s="5">
        <v>17455</v>
      </c>
    </row>
    <row r="1528" spans="1:12" x14ac:dyDescent="0.25">
      <c r="A1528" s="3" t="s">
        <v>1057</v>
      </c>
      <c r="B1528" s="4" t="s">
        <v>4643</v>
      </c>
      <c r="C1528" s="4" t="s">
        <v>14</v>
      </c>
      <c r="D1528" s="4" t="s">
        <v>15</v>
      </c>
      <c r="E1528" s="5" t="str">
        <f>"9050967"</f>
        <v>9050967</v>
      </c>
      <c r="F1528" s="3" t="s">
        <v>4840</v>
      </c>
      <c r="G1528" s="5">
        <v>2109919559</v>
      </c>
      <c r="H1528" s="4" t="s">
        <v>4841</v>
      </c>
      <c r="I1528" s="4" t="s">
        <v>4753</v>
      </c>
      <c r="J1528" s="4" t="s">
        <v>4754</v>
      </c>
      <c r="K1528" s="4" t="s">
        <v>4842</v>
      </c>
      <c r="L1528" s="5">
        <v>17342</v>
      </c>
    </row>
    <row r="1529" spans="1:12" x14ac:dyDescent="0.25">
      <c r="A1529" s="3" t="s">
        <v>1057</v>
      </c>
      <c r="B1529" s="4" t="s">
        <v>4643</v>
      </c>
      <c r="C1529" s="4" t="s">
        <v>14</v>
      </c>
      <c r="D1529" s="4" t="s">
        <v>15</v>
      </c>
      <c r="E1529" s="5" t="str">
        <f>"9050330"</f>
        <v>9050330</v>
      </c>
      <c r="F1529" s="3" t="s">
        <v>4843</v>
      </c>
      <c r="G1529" s="5">
        <v>2103460370</v>
      </c>
      <c r="H1529" s="4" t="s">
        <v>4844</v>
      </c>
      <c r="I1529" s="4" t="s">
        <v>4679</v>
      </c>
      <c r="J1529" s="4" t="s">
        <v>4845</v>
      </c>
      <c r="K1529" s="4" t="s">
        <v>4846</v>
      </c>
      <c r="L1529" s="5">
        <v>17778</v>
      </c>
    </row>
    <row r="1530" spans="1:12" x14ac:dyDescent="0.25">
      <c r="A1530" s="3" t="s">
        <v>1057</v>
      </c>
      <c r="B1530" s="4" t="s">
        <v>4643</v>
      </c>
      <c r="C1530" s="4" t="s">
        <v>25</v>
      </c>
      <c r="D1530" s="4" t="s">
        <v>26</v>
      </c>
      <c r="E1530" s="5" t="str">
        <f>"9050738"</f>
        <v>9050738</v>
      </c>
      <c r="F1530" s="3" t="s">
        <v>4847</v>
      </c>
      <c r="G1530" s="5">
        <v>2109919585</v>
      </c>
      <c r="H1530" s="4" t="s">
        <v>4848</v>
      </c>
      <c r="I1530" s="4" t="s">
        <v>4654</v>
      </c>
      <c r="J1530" s="4" t="s">
        <v>4655</v>
      </c>
      <c r="K1530" s="4" t="s">
        <v>4849</v>
      </c>
      <c r="L1530" s="5">
        <v>16451</v>
      </c>
    </row>
    <row r="1531" spans="1:12" x14ac:dyDescent="0.25">
      <c r="A1531" s="3" t="s">
        <v>1057</v>
      </c>
      <c r="B1531" s="4" t="s">
        <v>4643</v>
      </c>
      <c r="C1531" s="4" t="s">
        <v>14</v>
      </c>
      <c r="D1531" s="4" t="s">
        <v>15</v>
      </c>
      <c r="E1531" s="5" t="str">
        <f>"9050218"</f>
        <v>9050218</v>
      </c>
      <c r="F1531" s="3" t="s">
        <v>4850</v>
      </c>
      <c r="G1531" s="5">
        <v>2109567892</v>
      </c>
      <c r="H1531" s="4" t="s">
        <v>4851</v>
      </c>
      <c r="I1531" s="4" t="s">
        <v>4659</v>
      </c>
      <c r="J1531" s="4" t="s">
        <v>4660</v>
      </c>
      <c r="K1531" s="4" t="s">
        <v>4852</v>
      </c>
      <c r="L1531" s="5">
        <v>17676</v>
      </c>
    </row>
    <row r="1532" spans="1:12" x14ac:dyDescent="0.25">
      <c r="A1532" s="3" t="s">
        <v>1057</v>
      </c>
      <c r="B1532" s="4" t="s">
        <v>4643</v>
      </c>
      <c r="C1532" s="4" t="s">
        <v>25</v>
      </c>
      <c r="D1532" s="4" t="s">
        <v>26</v>
      </c>
      <c r="E1532" s="5" t="str">
        <f>"9520364"</f>
        <v>9520364</v>
      </c>
      <c r="F1532" s="3" t="s">
        <v>4853</v>
      </c>
      <c r="G1532" s="5">
        <v>2109926389</v>
      </c>
      <c r="H1532" s="4" t="s">
        <v>4854</v>
      </c>
      <c r="I1532" s="4" t="s">
        <v>4654</v>
      </c>
      <c r="J1532" s="4" t="s">
        <v>4655</v>
      </c>
      <c r="K1532" s="4" t="s">
        <v>4855</v>
      </c>
      <c r="L1532" s="5">
        <v>16451</v>
      </c>
    </row>
    <row r="1533" spans="1:12" x14ac:dyDescent="0.25">
      <c r="A1533" s="3" t="s">
        <v>1057</v>
      </c>
      <c r="B1533" s="4" t="s">
        <v>4643</v>
      </c>
      <c r="C1533" s="4" t="s">
        <v>14</v>
      </c>
      <c r="D1533" s="4" t="s">
        <v>15</v>
      </c>
      <c r="E1533" s="5" t="str">
        <f>"9050968"</f>
        <v>9050968</v>
      </c>
      <c r="F1533" s="3" t="s">
        <v>4856</v>
      </c>
      <c r="G1533" s="5">
        <v>2109922610</v>
      </c>
      <c r="H1533" s="4" t="s">
        <v>4857</v>
      </c>
      <c r="I1533" s="4" t="s">
        <v>4654</v>
      </c>
      <c r="J1533" s="4" t="s">
        <v>4655</v>
      </c>
      <c r="K1533" s="4" t="s">
        <v>4858</v>
      </c>
      <c r="L1533" s="5">
        <v>16452</v>
      </c>
    </row>
    <row r="1534" spans="1:12" ht="30" x14ac:dyDescent="0.25">
      <c r="A1534" s="3" t="s">
        <v>1057</v>
      </c>
      <c r="B1534" s="4" t="s">
        <v>4643</v>
      </c>
      <c r="C1534" s="4" t="s">
        <v>14</v>
      </c>
      <c r="D1534" s="4" t="s">
        <v>15</v>
      </c>
      <c r="E1534" s="5" t="str">
        <f>"9051162"</f>
        <v>9051162</v>
      </c>
      <c r="F1534" s="3" t="s">
        <v>4859</v>
      </c>
      <c r="G1534" s="5">
        <v>2109850216</v>
      </c>
      <c r="H1534" s="4" t="s">
        <v>4860</v>
      </c>
      <c r="I1534" s="4" t="s">
        <v>4772</v>
      </c>
      <c r="J1534" s="4" t="s">
        <v>4777</v>
      </c>
      <c r="K1534" s="4" t="s">
        <v>4861</v>
      </c>
      <c r="L1534" s="5">
        <v>17562</v>
      </c>
    </row>
    <row r="1535" spans="1:12" x14ac:dyDescent="0.25">
      <c r="A1535" s="3" t="s">
        <v>1057</v>
      </c>
      <c r="B1535" s="4" t="s">
        <v>4643</v>
      </c>
      <c r="C1535" s="4" t="s">
        <v>14</v>
      </c>
      <c r="D1535" s="4" t="s">
        <v>15</v>
      </c>
      <c r="E1535" s="5" t="str">
        <f>"9520481"</f>
        <v>9520481</v>
      </c>
      <c r="F1535" s="3" t="s">
        <v>4862</v>
      </c>
      <c r="G1535" s="5">
        <v>2109711116</v>
      </c>
      <c r="H1535" s="4" t="s">
        <v>4863</v>
      </c>
      <c r="I1535" s="4" t="s">
        <v>4753</v>
      </c>
      <c r="J1535" s="4" t="s">
        <v>4754</v>
      </c>
      <c r="K1535" s="4" t="s">
        <v>4864</v>
      </c>
      <c r="L1535" s="5">
        <v>17343</v>
      </c>
    </row>
    <row r="1536" spans="1:12" x14ac:dyDescent="0.25">
      <c r="A1536" s="3" t="s">
        <v>1057</v>
      </c>
      <c r="B1536" s="4" t="s">
        <v>4643</v>
      </c>
      <c r="C1536" s="4" t="s">
        <v>14</v>
      </c>
      <c r="D1536" s="4" t="s">
        <v>15</v>
      </c>
      <c r="E1536" s="5" t="str">
        <f>"9050236"</f>
        <v>9050236</v>
      </c>
      <c r="F1536" s="3" t="s">
        <v>4865</v>
      </c>
      <c r="G1536" s="5">
        <v>2109338908</v>
      </c>
      <c r="H1536" s="4" t="s">
        <v>4866</v>
      </c>
      <c r="I1536" s="4" t="s">
        <v>4758</v>
      </c>
      <c r="J1536" s="4" t="s">
        <v>4867</v>
      </c>
      <c r="K1536" s="4" t="s">
        <v>4868</v>
      </c>
      <c r="L1536" s="5">
        <v>17121</v>
      </c>
    </row>
    <row r="1537" spans="1:12" x14ac:dyDescent="0.25">
      <c r="A1537" s="3" t="s">
        <v>1057</v>
      </c>
      <c r="B1537" s="4" t="s">
        <v>4643</v>
      </c>
      <c r="C1537" s="4" t="s">
        <v>14</v>
      </c>
      <c r="D1537" s="4" t="s">
        <v>15</v>
      </c>
      <c r="E1537" s="5" t="str">
        <f>"9520384"</f>
        <v>9520384</v>
      </c>
      <c r="F1537" s="3" t="s">
        <v>4869</v>
      </c>
      <c r="G1537" s="5">
        <v>2109516149</v>
      </c>
      <c r="H1537" s="4" t="s">
        <v>4870</v>
      </c>
      <c r="I1537" s="4" t="s">
        <v>4659</v>
      </c>
      <c r="J1537" s="4" t="s">
        <v>4660</v>
      </c>
      <c r="K1537" s="4" t="s">
        <v>4871</v>
      </c>
      <c r="L1537" s="5">
        <v>17673</v>
      </c>
    </row>
    <row r="1538" spans="1:12" x14ac:dyDescent="0.25">
      <c r="A1538" s="3" t="s">
        <v>1057</v>
      </c>
      <c r="B1538" s="4" t="s">
        <v>4643</v>
      </c>
      <c r="C1538" s="4" t="s">
        <v>14</v>
      </c>
      <c r="D1538" s="4" t="s">
        <v>15</v>
      </c>
      <c r="E1538" s="5" t="str">
        <f>"9050223"</f>
        <v>9050223</v>
      </c>
      <c r="F1538" s="3" t="s">
        <v>4872</v>
      </c>
      <c r="G1538" s="5">
        <v>2109431341</v>
      </c>
      <c r="H1538" s="4" t="s">
        <v>4873</v>
      </c>
      <c r="I1538" s="4" t="s">
        <v>4659</v>
      </c>
      <c r="J1538" s="4" t="s">
        <v>4660</v>
      </c>
      <c r="K1538" s="4" t="s">
        <v>4874</v>
      </c>
      <c r="L1538" s="5">
        <v>17674</v>
      </c>
    </row>
    <row r="1539" spans="1:12" x14ac:dyDescent="0.25">
      <c r="A1539" s="3" t="s">
        <v>1057</v>
      </c>
      <c r="B1539" s="4" t="s">
        <v>4643</v>
      </c>
      <c r="C1539" s="4" t="s">
        <v>25</v>
      </c>
      <c r="D1539" s="4" t="s">
        <v>26</v>
      </c>
      <c r="E1539" s="5" t="str">
        <f>"9051249"</f>
        <v>9051249</v>
      </c>
      <c r="F1539" s="3" t="s">
        <v>4875</v>
      </c>
      <c r="G1539" s="5">
        <v>2109919564</v>
      </c>
      <c r="H1539" s="4" t="s">
        <v>4876</v>
      </c>
      <c r="I1539" s="4" t="s">
        <v>4828</v>
      </c>
      <c r="J1539" s="4" t="s">
        <v>4829</v>
      </c>
      <c r="K1539" s="4" t="s">
        <v>4877</v>
      </c>
      <c r="L1539" s="5">
        <v>17456</v>
      </c>
    </row>
    <row r="1540" spans="1:12" x14ac:dyDescent="0.25">
      <c r="A1540" s="3" t="s">
        <v>1057</v>
      </c>
      <c r="B1540" s="4" t="s">
        <v>4643</v>
      </c>
      <c r="C1540" s="4" t="s">
        <v>14</v>
      </c>
      <c r="D1540" s="4" t="s">
        <v>15</v>
      </c>
      <c r="E1540" s="5" t="str">
        <f>"9050144"</f>
        <v>9050144</v>
      </c>
      <c r="F1540" s="3" t="s">
        <v>4878</v>
      </c>
      <c r="G1540" s="5">
        <v>2109346041</v>
      </c>
      <c r="H1540" s="4" t="s">
        <v>4879</v>
      </c>
      <c r="I1540" s="4" t="s">
        <v>4753</v>
      </c>
      <c r="J1540" s="4" t="s">
        <v>4754</v>
      </c>
      <c r="K1540" s="4" t="s">
        <v>4880</v>
      </c>
      <c r="L1540" s="5">
        <v>17341</v>
      </c>
    </row>
    <row r="1541" spans="1:12" x14ac:dyDescent="0.25">
      <c r="A1541" s="3" t="s">
        <v>1057</v>
      </c>
      <c r="B1541" s="4" t="s">
        <v>4643</v>
      </c>
      <c r="C1541" s="4" t="s">
        <v>25</v>
      </c>
      <c r="D1541" s="4" t="s">
        <v>26</v>
      </c>
      <c r="E1541" s="5" t="str">
        <f>"9051079"</f>
        <v>9051079</v>
      </c>
      <c r="F1541" s="3" t="s">
        <v>4881</v>
      </c>
      <c r="G1541" s="5">
        <v>2109816690</v>
      </c>
      <c r="H1541" s="4" t="s">
        <v>4882</v>
      </c>
      <c r="I1541" s="4" t="s">
        <v>4828</v>
      </c>
      <c r="J1541" s="4" t="s">
        <v>4829</v>
      </c>
      <c r="K1541" s="4" t="s">
        <v>4883</v>
      </c>
      <c r="L1541" s="5">
        <v>17455</v>
      </c>
    </row>
    <row r="1542" spans="1:12" x14ac:dyDescent="0.25">
      <c r="A1542" s="3" t="s">
        <v>1057</v>
      </c>
      <c r="B1542" s="4" t="s">
        <v>4643</v>
      </c>
      <c r="C1542" s="4" t="s">
        <v>25</v>
      </c>
      <c r="D1542" s="4" t="s">
        <v>26</v>
      </c>
      <c r="E1542" s="5" t="str">
        <f>"9051319"</f>
        <v>9051319</v>
      </c>
      <c r="F1542" s="3" t="s">
        <v>4884</v>
      </c>
      <c r="G1542" s="5">
        <v>2109944462</v>
      </c>
      <c r="H1542" s="4" t="s">
        <v>4885</v>
      </c>
      <c r="I1542" s="4" t="s">
        <v>4654</v>
      </c>
      <c r="J1542" s="4" t="s">
        <v>4655</v>
      </c>
      <c r="K1542" s="4" t="s">
        <v>4886</v>
      </c>
      <c r="L1542" s="5">
        <v>16452</v>
      </c>
    </row>
    <row r="1543" spans="1:12" x14ac:dyDescent="0.25">
      <c r="A1543" s="3" t="s">
        <v>1057</v>
      </c>
      <c r="B1543" s="4" t="s">
        <v>4643</v>
      </c>
      <c r="C1543" s="4" t="s">
        <v>14</v>
      </c>
      <c r="D1543" s="4" t="s">
        <v>15</v>
      </c>
      <c r="E1543" s="5" t="str">
        <f>"9050202"</f>
        <v>9050202</v>
      </c>
      <c r="F1543" s="3" t="s">
        <v>4887</v>
      </c>
      <c r="G1543" s="5">
        <v>2109811926</v>
      </c>
      <c r="H1543" s="4" t="s">
        <v>4888</v>
      </c>
      <c r="I1543" s="4" t="s">
        <v>4772</v>
      </c>
      <c r="J1543" s="4" t="s">
        <v>4777</v>
      </c>
      <c r="K1543" s="4" t="s">
        <v>4889</v>
      </c>
      <c r="L1543" s="5">
        <v>17562</v>
      </c>
    </row>
    <row r="1544" spans="1:12" x14ac:dyDescent="0.25">
      <c r="A1544" s="3" t="s">
        <v>1057</v>
      </c>
      <c r="B1544" s="4" t="s">
        <v>4643</v>
      </c>
      <c r="C1544" s="4" t="s">
        <v>25</v>
      </c>
      <c r="D1544" s="4" t="s">
        <v>26</v>
      </c>
      <c r="E1544" s="5" t="str">
        <f>"9520368"</f>
        <v>9520368</v>
      </c>
      <c r="F1544" s="3" t="s">
        <v>4890</v>
      </c>
      <c r="G1544" s="5">
        <v>2109480020</v>
      </c>
      <c r="H1544" s="4" t="s">
        <v>4891</v>
      </c>
      <c r="I1544" s="4" t="s">
        <v>4758</v>
      </c>
      <c r="J1544" s="4" t="s">
        <v>4759</v>
      </c>
      <c r="K1544" s="4" t="s">
        <v>4892</v>
      </c>
      <c r="L1544" s="5">
        <v>17122</v>
      </c>
    </row>
    <row r="1545" spans="1:12" x14ac:dyDescent="0.25">
      <c r="A1545" s="3" t="s">
        <v>1057</v>
      </c>
      <c r="B1545" s="4" t="s">
        <v>4643</v>
      </c>
      <c r="C1545" s="4" t="s">
        <v>25</v>
      </c>
      <c r="D1545" s="4" t="s">
        <v>26</v>
      </c>
      <c r="E1545" s="5" t="str">
        <f>"9050746"</f>
        <v>9050746</v>
      </c>
      <c r="F1545" s="3" t="s">
        <v>4893</v>
      </c>
      <c r="G1545" s="5">
        <v>2109411211</v>
      </c>
      <c r="H1545" s="4" t="s">
        <v>4894</v>
      </c>
      <c r="I1545" s="4" t="s">
        <v>4679</v>
      </c>
      <c r="J1545" s="4" t="s">
        <v>4698</v>
      </c>
      <c r="K1545" s="4" t="s">
        <v>4895</v>
      </c>
      <c r="L1545" s="5">
        <v>18345</v>
      </c>
    </row>
    <row r="1546" spans="1:12" x14ac:dyDescent="0.25">
      <c r="A1546" s="3" t="s">
        <v>1057</v>
      </c>
      <c r="B1546" s="4" t="s">
        <v>4643</v>
      </c>
      <c r="C1546" s="4" t="s">
        <v>25</v>
      </c>
      <c r="D1546" s="4" t="s">
        <v>26</v>
      </c>
      <c r="E1546" s="5" t="str">
        <f>"9051072"</f>
        <v>9051072</v>
      </c>
      <c r="F1546" s="3" t="s">
        <v>4896</v>
      </c>
      <c r="G1546" s="5">
        <v>2109755343</v>
      </c>
      <c r="H1546" s="4" t="s">
        <v>4897</v>
      </c>
      <c r="I1546" s="4" t="s">
        <v>4753</v>
      </c>
      <c r="J1546" s="4" t="s">
        <v>4754</v>
      </c>
      <c r="K1546" s="4" t="s">
        <v>4898</v>
      </c>
      <c r="L1546" s="5">
        <v>17343</v>
      </c>
    </row>
    <row r="1547" spans="1:12" x14ac:dyDescent="0.25">
      <c r="A1547" s="3" t="s">
        <v>1057</v>
      </c>
      <c r="B1547" s="4" t="s">
        <v>4643</v>
      </c>
      <c r="C1547" s="4" t="s">
        <v>14</v>
      </c>
      <c r="D1547" s="4" t="s">
        <v>15</v>
      </c>
      <c r="E1547" s="5" t="str">
        <f>"9050231"</f>
        <v>9050231</v>
      </c>
      <c r="F1547" s="3" t="s">
        <v>4899</v>
      </c>
      <c r="G1547" s="5">
        <v>2109348238</v>
      </c>
      <c r="H1547" s="4" t="s">
        <v>4900</v>
      </c>
      <c r="I1547" s="4" t="s">
        <v>4758</v>
      </c>
      <c r="J1547" s="4" t="s">
        <v>4765</v>
      </c>
      <c r="K1547" s="4" t="s">
        <v>4901</v>
      </c>
      <c r="L1547" s="5">
        <v>17121</v>
      </c>
    </row>
    <row r="1548" spans="1:12" x14ac:dyDescent="0.25">
      <c r="A1548" s="3" t="s">
        <v>1057</v>
      </c>
      <c r="B1548" s="4" t="s">
        <v>4643</v>
      </c>
      <c r="C1548" s="4" t="s">
        <v>14</v>
      </c>
      <c r="D1548" s="4" t="s">
        <v>15</v>
      </c>
      <c r="E1548" s="5" t="str">
        <f>"9050239"</f>
        <v>9050239</v>
      </c>
      <c r="F1548" s="3" t="s">
        <v>4902</v>
      </c>
      <c r="G1548" s="5">
        <v>2109345380</v>
      </c>
      <c r="H1548" s="4" t="s">
        <v>4903</v>
      </c>
      <c r="I1548" s="4" t="s">
        <v>4758</v>
      </c>
      <c r="J1548" s="4" t="s">
        <v>4759</v>
      </c>
      <c r="K1548" s="4" t="s">
        <v>4904</v>
      </c>
      <c r="L1548" s="5">
        <v>17124</v>
      </c>
    </row>
    <row r="1549" spans="1:12" x14ac:dyDescent="0.25">
      <c r="A1549" s="3" t="s">
        <v>1057</v>
      </c>
      <c r="B1549" s="4" t="s">
        <v>4643</v>
      </c>
      <c r="C1549" s="4" t="s">
        <v>14</v>
      </c>
      <c r="D1549" s="4" t="s">
        <v>15</v>
      </c>
      <c r="E1549" s="5" t="str">
        <f>"9050139"</f>
        <v>9050139</v>
      </c>
      <c r="F1549" s="3" t="s">
        <v>4905</v>
      </c>
      <c r="G1549" s="5">
        <v>2109711809</v>
      </c>
      <c r="H1549" s="4" t="s">
        <v>4906</v>
      </c>
      <c r="I1549" s="4" t="s">
        <v>4753</v>
      </c>
      <c r="J1549" s="4" t="s">
        <v>4754</v>
      </c>
      <c r="K1549" s="4" t="s">
        <v>4907</v>
      </c>
      <c r="L1549" s="5">
        <v>17343</v>
      </c>
    </row>
    <row r="1550" spans="1:12" x14ac:dyDescent="0.25">
      <c r="A1550" s="3" t="s">
        <v>1057</v>
      </c>
      <c r="B1550" s="4" t="s">
        <v>4643</v>
      </c>
      <c r="C1550" s="4" t="s">
        <v>14</v>
      </c>
      <c r="D1550" s="4" t="s">
        <v>15</v>
      </c>
      <c r="E1550" s="5" t="str">
        <f>"9050216"</f>
        <v>9050216</v>
      </c>
      <c r="F1550" s="3" t="s">
        <v>4908</v>
      </c>
      <c r="G1550" s="5">
        <v>2109561629</v>
      </c>
      <c r="H1550" s="4" t="s">
        <v>4909</v>
      </c>
      <c r="I1550" s="4" t="s">
        <v>4659</v>
      </c>
      <c r="J1550" s="4" t="s">
        <v>4660</v>
      </c>
      <c r="K1550" s="4" t="s">
        <v>4661</v>
      </c>
      <c r="L1550" s="5">
        <v>17673</v>
      </c>
    </row>
    <row r="1551" spans="1:12" x14ac:dyDescent="0.25">
      <c r="A1551" s="3" t="s">
        <v>1057</v>
      </c>
      <c r="B1551" s="4" t="s">
        <v>4643</v>
      </c>
      <c r="C1551" s="4" t="s">
        <v>25</v>
      </c>
      <c r="D1551" s="4" t="s">
        <v>26</v>
      </c>
      <c r="E1551" s="5" t="str">
        <f>"9051071"</f>
        <v>9051071</v>
      </c>
      <c r="F1551" s="3" t="s">
        <v>4910</v>
      </c>
      <c r="G1551" s="5">
        <v>2109734160</v>
      </c>
      <c r="H1551" s="4" t="s">
        <v>4911</v>
      </c>
      <c r="I1551" s="4" t="s">
        <v>4753</v>
      </c>
      <c r="J1551" s="4" t="s">
        <v>4754</v>
      </c>
      <c r="K1551" s="4" t="s">
        <v>4912</v>
      </c>
      <c r="L1551" s="5">
        <v>17343</v>
      </c>
    </row>
    <row r="1552" spans="1:12" x14ac:dyDescent="0.25">
      <c r="A1552" s="3" t="s">
        <v>1057</v>
      </c>
      <c r="B1552" s="4" t="s">
        <v>4643</v>
      </c>
      <c r="C1552" s="4" t="s">
        <v>25</v>
      </c>
      <c r="D1552" s="4" t="s">
        <v>26</v>
      </c>
      <c r="E1552" s="5" t="str">
        <f>"9051081"</f>
        <v>9051081</v>
      </c>
      <c r="F1552" s="3" t="s">
        <v>4913</v>
      </c>
      <c r="G1552" s="5">
        <v>2109615900</v>
      </c>
      <c r="H1552" s="4" t="s">
        <v>4914</v>
      </c>
      <c r="I1552" s="4" t="s">
        <v>4646</v>
      </c>
      <c r="J1552" s="4" t="s">
        <v>4647</v>
      </c>
      <c r="K1552" s="4" t="s">
        <v>4915</v>
      </c>
      <c r="L1552" s="5">
        <v>16561</v>
      </c>
    </row>
    <row r="1553" spans="1:12" x14ac:dyDescent="0.25">
      <c r="A1553" s="3" t="s">
        <v>1057</v>
      </c>
      <c r="B1553" s="4" t="s">
        <v>4643</v>
      </c>
      <c r="C1553" s="4" t="s">
        <v>14</v>
      </c>
      <c r="D1553" s="4" t="s">
        <v>15</v>
      </c>
      <c r="E1553" s="5" t="str">
        <f>"9050972"</f>
        <v>9050972</v>
      </c>
      <c r="F1553" s="3" t="s">
        <v>4916</v>
      </c>
      <c r="G1553" s="5">
        <v>2109589220</v>
      </c>
      <c r="H1553" s="4" t="s">
        <v>4917</v>
      </c>
      <c r="I1553" s="4" t="s">
        <v>4659</v>
      </c>
      <c r="J1553" s="4" t="s">
        <v>4660</v>
      </c>
      <c r="K1553" s="4" t="s">
        <v>4918</v>
      </c>
      <c r="L1553" s="5">
        <v>17675</v>
      </c>
    </row>
    <row r="1554" spans="1:12" x14ac:dyDescent="0.25">
      <c r="A1554" s="3" t="s">
        <v>1057</v>
      </c>
      <c r="B1554" s="4" t="s">
        <v>4643</v>
      </c>
      <c r="C1554" s="4" t="s">
        <v>14</v>
      </c>
      <c r="D1554" s="4" t="s">
        <v>15</v>
      </c>
      <c r="E1554" s="5" t="str">
        <f>"9520406"</f>
        <v>9520406</v>
      </c>
      <c r="F1554" s="3" t="s">
        <v>4919</v>
      </c>
      <c r="G1554" s="5">
        <v>2109484059</v>
      </c>
      <c r="H1554" s="4" t="s">
        <v>4920</v>
      </c>
      <c r="I1554" s="4" t="s">
        <v>4772</v>
      </c>
      <c r="J1554" s="4" t="s">
        <v>4787</v>
      </c>
      <c r="K1554" s="4" t="s">
        <v>4921</v>
      </c>
      <c r="L1554" s="5">
        <v>17564</v>
      </c>
    </row>
    <row r="1555" spans="1:12" x14ac:dyDescent="0.25">
      <c r="A1555" s="3" t="s">
        <v>1057</v>
      </c>
      <c r="B1555" s="4" t="s">
        <v>4643</v>
      </c>
      <c r="C1555" s="4" t="s">
        <v>14</v>
      </c>
      <c r="D1555" s="4" t="s">
        <v>15</v>
      </c>
      <c r="E1555" s="5" t="str">
        <f>"9520482"</f>
        <v>9520482</v>
      </c>
      <c r="F1555" s="3" t="s">
        <v>4922</v>
      </c>
      <c r="G1555" s="5">
        <v>2109354403</v>
      </c>
      <c r="H1555" s="4" t="s">
        <v>4923</v>
      </c>
      <c r="I1555" s="4" t="s">
        <v>4753</v>
      </c>
      <c r="J1555" s="4" t="s">
        <v>4754</v>
      </c>
      <c r="K1555" s="4" t="s">
        <v>4924</v>
      </c>
      <c r="L1555" s="5">
        <v>17341</v>
      </c>
    </row>
    <row r="1556" spans="1:12" x14ac:dyDescent="0.25">
      <c r="A1556" s="3" t="s">
        <v>1057</v>
      </c>
      <c r="B1556" s="4" t="s">
        <v>4643</v>
      </c>
      <c r="C1556" s="4" t="s">
        <v>14</v>
      </c>
      <c r="D1556" s="4" t="s">
        <v>15</v>
      </c>
      <c r="E1556" s="5" t="str">
        <f>"9051104"</f>
        <v>9051104</v>
      </c>
      <c r="F1556" s="3" t="s">
        <v>4925</v>
      </c>
      <c r="G1556" s="5">
        <v>2103414317</v>
      </c>
      <c r="H1556" s="4" t="s">
        <v>4926</v>
      </c>
      <c r="I1556" s="4" t="s">
        <v>4679</v>
      </c>
      <c r="J1556" s="4" t="s">
        <v>4845</v>
      </c>
      <c r="K1556" s="4" t="s">
        <v>4927</v>
      </c>
      <c r="L1556" s="5">
        <v>17778</v>
      </c>
    </row>
    <row r="1557" spans="1:12" x14ac:dyDescent="0.25">
      <c r="A1557" s="3" t="s">
        <v>1057</v>
      </c>
      <c r="B1557" s="4" t="s">
        <v>4643</v>
      </c>
      <c r="C1557" s="4" t="s">
        <v>25</v>
      </c>
      <c r="D1557" s="4" t="s">
        <v>26</v>
      </c>
      <c r="E1557" s="5" t="str">
        <f>"9050169"</f>
        <v>9050169</v>
      </c>
      <c r="F1557" s="3" t="s">
        <v>4928</v>
      </c>
      <c r="G1557" s="5">
        <v>2109838796</v>
      </c>
      <c r="H1557" s="4" t="s">
        <v>4929</v>
      </c>
      <c r="I1557" s="4" t="s">
        <v>4772</v>
      </c>
      <c r="J1557" s="4" t="s">
        <v>4777</v>
      </c>
      <c r="K1557" s="4" t="s">
        <v>4930</v>
      </c>
      <c r="L1557" s="5">
        <v>17562</v>
      </c>
    </row>
    <row r="1558" spans="1:12" x14ac:dyDescent="0.25">
      <c r="A1558" s="3" t="s">
        <v>1057</v>
      </c>
      <c r="B1558" s="4" t="s">
        <v>4643</v>
      </c>
      <c r="C1558" s="4" t="s">
        <v>25</v>
      </c>
      <c r="D1558" s="4" t="s">
        <v>26</v>
      </c>
      <c r="E1558" s="5" t="str">
        <f>"9050731"</f>
        <v>9050731</v>
      </c>
      <c r="F1558" s="3" t="s">
        <v>4931</v>
      </c>
      <c r="G1558" s="5">
        <v>2109715671</v>
      </c>
      <c r="H1558" s="4" t="s">
        <v>4932</v>
      </c>
      <c r="I1558" s="4" t="s">
        <v>4753</v>
      </c>
      <c r="J1558" s="4" t="s">
        <v>4754</v>
      </c>
      <c r="K1558" s="4" t="s">
        <v>4933</v>
      </c>
      <c r="L1558" s="5">
        <v>17343</v>
      </c>
    </row>
    <row r="1559" spans="1:12" x14ac:dyDescent="0.25">
      <c r="A1559" s="3" t="s">
        <v>1057</v>
      </c>
      <c r="B1559" s="4" t="s">
        <v>4643</v>
      </c>
      <c r="C1559" s="4" t="s">
        <v>25</v>
      </c>
      <c r="D1559" s="4" t="s">
        <v>821</v>
      </c>
      <c r="E1559" s="5" t="str">
        <f>"9520431"</f>
        <v>9520431</v>
      </c>
      <c r="F1559" s="3" t="s">
        <v>4934</v>
      </c>
      <c r="G1559" s="5">
        <v>2109837153</v>
      </c>
      <c r="H1559" s="4" t="s">
        <v>4935</v>
      </c>
      <c r="I1559" s="4" t="s">
        <v>4828</v>
      </c>
      <c r="J1559" s="4" t="s">
        <v>4829</v>
      </c>
      <c r="K1559" s="4" t="s">
        <v>4936</v>
      </c>
      <c r="L1559" s="5">
        <v>17455</v>
      </c>
    </row>
    <row r="1560" spans="1:12" x14ac:dyDescent="0.25">
      <c r="A1560" s="3" t="s">
        <v>1057</v>
      </c>
      <c r="B1560" s="4" t="s">
        <v>4643</v>
      </c>
      <c r="C1560" s="4" t="s">
        <v>14</v>
      </c>
      <c r="D1560" s="4" t="s">
        <v>15</v>
      </c>
      <c r="E1560" s="5" t="str">
        <f>"9050204"</f>
        <v>9050204</v>
      </c>
      <c r="F1560" s="3" t="s">
        <v>4937</v>
      </c>
      <c r="G1560" s="5">
        <v>2109636114</v>
      </c>
      <c r="H1560" s="4" t="s">
        <v>4938</v>
      </c>
      <c r="I1560" s="4" t="s">
        <v>4646</v>
      </c>
      <c r="J1560" s="4" t="s">
        <v>4647</v>
      </c>
      <c r="K1560" s="4" t="s">
        <v>4939</v>
      </c>
      <c r="L1560" s="5">
        <v>16674</v>
      </c>
    </row>
    <row r="1561" spans="1:12" x14ac:dyDescent="0.25">
      <c r="A1561" s="3" t="s">
        <v>1057</v>
      </c>
      <c r="B1561" s="4" t="s">
        <v>4643</v>
      </c>
      <c r="C1561" s="4" t="s">
        <v>14</v>
      </c>
      <c r="D1561" s="4" t="s">
        <v>15</v>
      </c>
      <c r="E1561" s="5" t="str">
        <f>"9050233"</f>
        <v>9050233</v>
      </c>
      <c r="F1561" s="3" t="s">
        <v>4940</v>
      </c>
      <c r="G1561" s="5">
        <v>2109331314</v>
      </c>
      <c r="H1561" s="4" t="s">
        <v>4941</v>
      </c>
      <c r="I1561" s="4" t="s">
        <v>4758</v>
      </c>
      <c r="J1561" s="4" t="s">
        <v>4759</v>
      </c>
      <c r="K1561" s="4" t="s">
        <v>4942</v>
      </c>
      <c r="L1561" s="5">
        <v>17122</v>
      </c>
    </row>
    <row r="1562" spans="1:12" x14ac:dyDescent="0.25">
      <c r="A1562" s="3" t="s">
        <v>1057</v>
      </c>
      <c r="B1562" s="4" t="s">
        <v>4643</v>
      </c>
      <c r="C1562" s="4" t="s">
        <v>14</v>
      </c>
      <c r="D1562" s="4" t="s">
        <v>15</v>
      </c>
      <c r="E1562" s="5" t="str">
        <f>"9051276"</f>
        <v>9051276</v>
      </c>
      <c r="F1562" s="3" t="s">
        <v>4943</v>
      </c>
      <c r="G1562" s="5">
        <v>2109703913</v>
      </c>
      <c r="H1562" s="4" t="s">
        <v>4944</v>
      </c>
      <c r="I1562" s="4" t="s">
        <v>4753</v>
      </c>
      <c r="J1562" s="4" t="s">
        <v>4945</v>
      </c>
      <c r="K1562" s="4" t="s">
        <v>4946</v>
      </c>
      <c r="L1562" s="5">
        <v>17343</v>
      </c>
    </row>
    <row r="1563" spans="1:12" x14ac:dyDescent="0.25">
      <c r="A1563" s="3" t="s">
        <v>1057</v>
      </c>
      <c r="B1563" s="4" t="s">
        <v>4643</v>
      </c>
      <c r="C1563" s="4" t="s">
        <v>14</v>
      </c>
      <c r="D1563" s="4" t="s">
        <v>15</v>
      </c>
      <c r="E1563" s="5" t="str">
        <f>"9050177"</f>
        <v>9050177</v>
      </c>
      <c r="F1563" s="3" t="s">
        <v>4947</v>
      </c>
      <c r="G1563" s="5">
        <v>2109824068</v>
      </c>
      <c r="H1563" s="4" t="s">
        <v>4948</v>
      </c>
      <c r="I1563" s="4" t="s">
        <v>4828</v>
      </c>
      <c r="J1563" s="4" t="s">
        <v>4829</v>
      </c>
      <c r="K1563" s="4" t="s">
        <v>4949</v>
      </c>
      <c r="L1563" s="5">
        <v>17455</v>
      </c>
    </row>
    <row r="1564" spans="1:12" x14ac:dyDescent="0.25">
      <c r="A1564" s="3" t="s">
        <v>1057</v>
      </c>
      <c r="B1564" s="4" t="s">
        <v>4643</v>
      </c>
      <c r="C1564" s="4" t="s">
        <v>14</v>
      </c>
      <c r="D1564" s="4" t="s">
        <v>15</v>
      </c>
      <c r="E1564" s="5" t="str">
        <f>"9050229"</f>
        <v>9050229</v>
      </c>
      <c r="F1564" s="3" t="s">
        <v>4950</v>
      </c>
      <c r="G1564" s="5">
        <v>2109424603</v>
      </c>
      <c r="H1564" s="4" t="s">
        <v>4951</v>
      </c>
      <c r="I1564" s="4" t="s">
        <v>4679</v>
      </c>
      <c r="J1564" s="4" t="s">
        <v>4698</v>
      </c>
      <c r="K1564" s="4" t="s">
        <v>4952</v>
      </c>
      <c r="L1564" s="5">
        <v>18345</v>
      </c>
    </row>
    <row r="1565" spans="1:12" x14ac:dyDescent="0.25">
      <c r="A1565" s="3" t="s">
        <v>1057</v>
      </c>
      <c r="B1565" s="4" t="s">
        <v>4643</v>
      </c>
      <c r="C1565" s="4" t="s">
        <v>25</v>
      </c>
      <c r="D1565" s="4" t="s">
        <v>26</v>
      </c>
      <c r="E1565" s="5" t="str">
        <f>"9520421"</f>
        <v>9520421</v>
      </c>
      <c r="F1565" s="3" t="s">
        <v>4953</v>
      </c>
      <c r="G1565" s="5">
        <v>2109816171</v>
      </c>
      <c r="H1565" s="4" t="s">
        <v>4954</v>
      </c>
      <c r="I1565" s="4" t="s">
        <v>4828</v>
      </c>
      <c r="J1565" s="4" t="s">
        <v>4829</v>
      </c>
      <c r="K1565" s="4" t="s">
        <v>4955</v>
      </c>
      <c r="L1565" s="5">
        <v>17455</v>
      </c>
    </row>
    <row r="1566" spans="1:12" x14ac:dyDescent="0.25">
      <c r="A1566" s="3" t="s">
        <v>1057</v>
      </c>
      <c r="B1566" s="4" t="s">
        <v>4643</v>
      </c>
      <c r="C1566" s="4" t="s">
        <v>14</v>
      </c>
      <c r="D1566" s="4" t="s">
        <v>15</v>
      </c>
      <c r="E1566" s="5" t="str">
        <f>"9520455"</f>
        <v>9520455</v>
      </c>
      <c r="F1566" s="3" t="s">
        <v>4956</v>
      </c>
      <c r="G1566" s="5">
        <v>2109828591</v>
      </c>
      <c r="H1566" s="4" t="s">
        <v>4957</v>
      </c>
      <c r="I1566" s="4" t="s">
        <v>4772</v>
      </c>
      <c r="J1566" s="4" t="s">
        <v>4787</v>
      </c>
      <c r="K1566" s="4" t="s">
        <v>4958</v>
      </c>
      <c r="L1566" s="5">
        <v>17563</v>
      </c>
    </row>
    <row r="1567" spans="1:12" x14ac:dyDescent="0.25">
      <c r="A1567" s="3" t="s">
        <v>1057</v>
      </c>
      <c r="B1567" s="4" t="s">
        <v>4643</v>
      </c>
      <c r="C1567" s="4" t="s">
        <v>14</v>
      </c>
      <c r="D1567" s="4" t="s">
        <v>15</v>
      </c>
      <c r="E1567" s="5" t="str">
        <f>"9050138"</f>
        <v>9050138</v>
      </c>
      <c r="F1567" s="3" t="s">
        <v>4959</v>
      </c>
      <c r="G1567" s="5">
        <v>2109810175</v>
      </c>
      <c r="H1567" s="4" t="s">
        <v>4960</v>
      </c>
      <c r="I1567" s="4" t="s">
        <v>4772</v>
      </c>
      <c r="J1567" s="4" t="s">
        <v>4787</v>
      </c>
      <c r="K1567" s="4" t="s">
        <v>4961</v>
      </c>
      <c r="L1567" s="5">
        <v>17563</v>
      </c>
    </row>
    <row r="1568" spans="1:12" x14ac:dyDescent="0.25">
      <c r="A1568" s="3" t="s">
        <v>1057</v>
      </c>
      <c r="B1568" s="4" t="s">
        <v>4643</v>
      </c>
      <c r="C1568" s="4" t="s">
        <v>14</v>
      </c>
      <c r="D1568" s="4" t="s">
        <v>15</v>
      </c>
      <c r="E1568" s="5" t="str">
        <f>"9050225"</f>
        <v>9050225</v>
      </c>
      <c r="F1568" s="3" t="s">
        <v>4962</v>
      </c>
      <c r="G1568" s="5">
        <v>2109419552</v>
      </c>
      <c r="H1568" s="4" t="s">
        <v>4963</v>
      </c>
      <c r="I1568" s="4" t="s">
        <v>4659</v>
      </c>
      <c r="J1568" s="4" t="s">
        <v>4660</v>
      </c>
      <c r="K1568" s="4" t="s">
        <v>4964</v>
      </c>
      <c r="L1568" s="5">
        <v>17675</v>
      </c>
    </row>
    <row r="1569" spans="1:12" x14ac:dyDescent="0.25">
      <c r="A1569" s="3" t="s">
        <v>1057</v>
      </c>
      <c r="B1569" s="4" t="s">
        <v>4643</v>
      </c>
      <c r="C1569" s="4" t="s">
        <v>25</v>
      </c>
      <c r="D1569" s="4" t="s">
        <v>26</v>
      </c>
      <c r="E1569" s="5" t="str">
        <f>"9520505"</f>
        <v>9520505</v>
      </c>
      <c r="F1569" s="3" t="s">
        <v>4965</v>
      </c>
      <c r="G1569" s="5">
        <v>2109848464</v>
      </c>
      <c r="H1569" s="4" t="s">
        <v>4966</v>
      </c>
      <c r="I1569" s="4" t="s">
        <v>4772</v>
      </c>
      <c r="J1569" s="4" t="s">
        <v>4787</v>
      </c>
      <c r="K1569" s="4" t="s">
        <v>4967</v>
      </c>
      <c r="L1569" s="5">
        <v>17563</v>
      </c>
    </row>
    <row r="1570" spans="1:12" x14ac:dyDescent="0.25">
      <c r="A1570" s="3" t="s">
        <v>1057</v>
      </c>
      <c r="B1570" s="4" t="s">
        <v>4643</v>
      </c>
      <c r="C1570" s="4" t="s">
        <v>25</v>
      </c>
      <c r="D1570" s="4" t="s">
        <v>26</v>
      </c>
      <c r="E1570" s="5" t="str">
        <f>"9050666"</f>
        <v>9050666</v>
      </c>
      <c r="F1570" s="3" t="s">
        <v>4968</v>
      </c>
      <c r="G1570" s="5">
        <v>2109705600</v>
      </c>
      <c r="H1570" s="4" t="s">
        <v>4969</v>
      </c>
      <c r="I1570" s="4" t="s">
        <v>4753</v>
      </c>
      <c r="J1570" s="4" t="s">
        <v>4945</v>
      </c>
      <c r="K1570" s="4" t="s">
        <v>4970</v>
      </c>
      <c r="L1570" s="5">
        <v>17341</v>
      </c>
    </row>
    <row r="1571" spans="1:12" x14ac:dyDescent="0.25">
      <c r="A1571" s="3" t="s">
        <v>1057</v>
      </c>
      <c r="B1571" s="4" t="s">
        <v>4643</v>
      </c>
      <c r="C1571" s="4" t="s">
        <v>14</v>
      </c>
      <c r="D1571" s="4" t="s">
        <v>15</v>
      </c>
      <c r="E1571" s="5" t="str">
        <f>"9051159"</f>
        <v>9051159</v>
      </c>
      <c r="F1571" s="3" t="s">
        <v>4971</v>
      </c>
      <c r="G1571" s="5">
        <v>2109816958</v>
      </c>
      <c r="H1571" s="4" t="s">
        <v>4972</v>
      </c>
      <c r="I1571" s="4" t="s">
        <v>4753</v>
      </c>
      <c r="J1571" s="4" t="s">
        <v>4754</v>
      </c>
      <c r="K1571" s="4" t="s">
        <v>4973</v>
      </c>
      <c r="L1571" s="5">
        <v>17342</v>
      </c>
    </row>
    <row r="1572" spans="1:12" x14ac:dyDescent="0.25">
      <c r="A1572" s="3" t="s">
        <v>1057</v>
      </c>
      <c r="B1572" s="4" t="s">
        <v>4643</v>
      </c>
      <c r="C1572" s="4" t="s">
        <v>14</v>
      </c>
      <c r="D1572" s="4" t="s">
        <v>15</v>
      </c>
      <c r="E1572" s="5" t="str">
        <f>"9520499"</f>
        <v>9520499</v>
      </c>
      <c r="F1572" s="3" t="s">
        <v>4974</v>
      </c>
      <c r="G1572" s="5">
        <v>2109819211</v>
      </c>
      <c r="H1572" s="4" t="s">
        <v>4975</v>
      </c>
      <c r="I1572" s="4" t="s">
        <v>4753</v>
      </c>
      <c r="J1572" s="4" t="s">
        <v>4945</v>
      </c>
      <c r="K1572" s="4" t="s">
        <v>4973</v>
      </c>
      <c r="L1572" s="5">
        <v>17342</v>
      </c>
    </row>
    <row r="1573" spans="1:12" x14ac:dyDescent="0.25">
      <c r="A1573" s="3" t="s">
        <v>1057</v>
      </c>
      <c r="B1573" s="4" t="s">
        <v>4643</v>
      </c>
      <c r="C1573" s="4" t="s">
        <v>14</v>
      </c>
      <c r="D1573" s="4" t="s">
        <v>15</v>
      </c>
      <c r="E1573" s="5" t="str">
        <f>"9050147"</f>
        <v>9050147</v>
      </c>
      <c r="F1573" s="3" t="s">
        <v>4976</v>
      </c>
      <c r="G1573" s="5">
        <v>2109715614</v>
      </c>
      <c r="H1573" s="4" t="s">
        <v>4977</v>
      </c>
      <c r="I1573" s="4" t="s">
        <v>4753</v>
      </c>
      <c r="J1573" s="4" t="s">
        <v>4754</v>
      </c>
      <c r="K1573" s="4" t="s">
        <v>4978</v>
      </c>
      <c r="L1573" s="5">
        <v>17343</v>
      </c>
    </row>
    <row r="1574" spans="1:12" x14ac:dyDescent="0.25">
      <c r="A1574" s="3" t="s">
        <v>1057</v>
      </c>
      <c r="B1574" s="4" t="s">
        <v>4643</v>
      </c>
      <c r="C1574" s="4" t="s">
        <v>25</v>
      </c>
      <c r="D1574" s="4" t="s">
        <v>26</v>
      </c>
      <c r="E1574" s="5" t="str">
        <f>"9050891"</f>
        <v>9050891</v>
      </c>
      <c r="F1574" s="3" t="s">
        <v>4979</v>
      </c>
      <c r="G1574" s="5">
        <v>2109420376</v>
      </c>
      <c r="H1574" s="4" t="s">
        <v>4980</v>
      </c>
      <c r="I1574" s="4" t="s">
        <v>4772</v>
      </c>
      <c r="J1574" s="4" t="s">
        <v>4787</v>
      </c>
      <c r="K1574" s="4" t="s">
        <v>4981</v>
      </c>
      <c r="L1574" s="5">
        <v>17564</v>
      </c>
    </row>
    <row r="1575" spans="1:12" x14ac:dyDescent="0.25">
      <c r="A1575" s="3" t="s">
        <v>1057</v>
      </c>
      <c r="B1575" s="4" t="s">
        <v>4643</v>
      </c>
      <c r="C1575" s="4" t="s">
        <v>25</v>
      </c>
      <c r="D1575" s="4" t="s">
        <v>26</v>
      </c>
      <c r="E1575" s="5" t="str">
        <f>"9520410"</f>
        <v>9520410</v>
      </c>
      <c r="F1575" s="3" t="s">
        <v>4982</v>
      </c>
      <c r="G1575" s="5">
        <v>2109339433</v>
      </c>
      <c r="H1575" s="4" t="s">
        <v>4983</v>
      </c>
      <c r="I1575" s="4" t="s">
        <v>4758</v>
      </c>
      <c r="J1575" s="4" t="s">
        <v>4759</v>
      </c>
      <c r="K1575" s="4" t="s">
        <v>4984</v>
      </c>
      <c r="L1575" s="5">
        <v>17124</v>
      </c>
    </row>
    <row r="1576" spans="1:12" x14ac:dyDescent="0.25">
      <c r="A1576" s="3" t="s">
        <v>1057</v>
      </c>
      <c r="B1576" s="4" t="s">
        <v>4643</v>
      </c>
      <c r="C1576" s="4" t="s">
        <v>25</v>
      </c>
      <c r="D1576" s="4" t="s">
        <v>26</v>
      </c>
      <c r="E1576" s="5" t="str">
        <f>"9051177"</f>
        <v>9051177</v>
      </c>
      <c r="F1576" s="3" t="s">
        <v>4985</v>
      </c>
      <c r="G1576" s="5">
        <v>2109323400</v>
      </c>
      <c r="H1576" s="4" t="s">
        <v>4986</v>
      </c>
      <c r="I1576" s="4" t="s">
        <v>4758</v>
      </c>
      <c r="J1576" s="4" t="s">
        <v>4759</v>
      </c>
      <c r="K1576" s="4" t="s">
        <v>4987</v>
      </c>
      <c r="L1576" s="5">
        <v>17123</v>
      </c>
    </row>
    <row r="1577" spans="1:12" x14ac:dyDescent="0.25">
      <c r="A1577" s="3" t="s">
        <v>1057</v>
      </c>
      <c r="B1577" s="4" t="s">
        <v>4643</v>
      </c>
      <c r="C1577" s="4" t="s">
        <v>14</v>
      </c>
      <c r="D1577" s="4" t="s">
        <v>15</v>
      </c>
      <c r="E1577" s="5" t="str">
        <f>"9050234"</f>
        <v>9050234</v>
      </c>
      <c r="F1577" s="3" t="s">
        <v>4988</v>
      </c>
      <c r="G1577" s="5">
        <v>2109330490</v>
      </c>
      <c r="H1577" s="4" t="s">
        <v>4989</v>
      </c>
      <c r="I1577" s="4" t="s">
        <v>4758</v>
      </c>
      <c r="J1577" s="4" t="s">
        <v>4765</v>
      </c>
      <c r="K1577" s="4" t="s">
        <v>4990</v>
      </c>
      <c r="L1577" s="5">
        <v>17123</v>
      </c>
    </row>
    <row r="1578" spans="1:12" x14ac:dyDescent="0.25">
      <c r="A1578" s="3" t="s">
        <v>1057</v>
      </c>
      <c r="B1578" s="4" t="s">
        <v>4643</v>
      </c>
      <c r="C1578" s="4" t="s">
        <v>14</v>
      </c>
      <c r="D1578" s="4" t="s">
        <v>15</v>
      </c>
      <c r="E1578" s="5" t="str">
        <f>"9051172"</f>
        <v>9051172</v>
      </c>
      <c r="F1578" s="3" t="s">
        <v>4991</v>
      </c>
      <c r="G1578" s="5">
        <v>2109614758</v>
      </c>
      <c r="H1578" s="4" t="s">
        <v>4992</v>
      </c>
      <c r="I1578" s="4" t="s">
        <v>4646</v>
      </c>
      <c r="J1578" s="4" t="s">
        <v>4647</v>
      </c>
      <c r="K1578" s="4" t="s">
        <v>4993</v>
      </c>
      <c r="L1578" s="5">
        <v>16561</v>
      </c>
    </row>
    <row r="1579" spans="1:12" x14ac:dyDescent="0.25">
      <c r="A1579" s="3" t="s">
        <v>1057</v>
      </c>
      <c r="B1579" s="4" t="s">
        <v>4643</v>
      </c>
      <c r="C1579" s="4" t="s">
        <v>14</v>
      </c>
      <c r="D1579" s="4" t="s">
        <v>15</v>
      </c>
      <c r="E1579" s="5" t="str">
        <f>"9050140"</f>
        <v>9050140</v>
      </c>
      <c r="F1579" s="3" t="s">
        <v>4994</v>
      </c>
      <c r="G1579" s="5">
        <v>2109333385</v>
      </c>
      <c r="H1579" s="4" t="s">
        <v>4995</v>
      </c>
      <c r="I1579" s="4" t="s">
        <v>4753</v>
      </c>
      <c r="J1579" s="4" t="s">
        <v>4754</v>
      </c>
      <c r="K1579" s="4" t="s">
        <v>4996</v>
      </c>
      <c r="L1579" s="5">
        <v>17341</v>
      </c>
    </row>
    <row r="1580" spans="1:12" x14ac:dyDescent="0.25">
      <c r="A1580" s="3" t="s">
        <v>1057</v>
      </c>
      <c r="B1580" s="4" t="s">
        <v>4643</v>
      </c>
      <c r="C1580" s="4" t="s">
        <v>25</v>
      </c>
      <c r="D1580" s="4" t="s">
        <v>26</v>
      </c>
      <c r="E1580" s="5" t="str">
        <f>"9051002"</f>
        <v>9051002</v>
      </c>
      <c r="F1580" s="3" t="s">
        <v>4997</v>
      </c>
      <c r="G1580" s="5">
        <v>2109925515</v>
      </c>
      <c r="H1580" s="4" t="s">
        <v>4998</v>
      </c>
      <c r="I1580" s="4" t="s">
        <v>4828</v>
      </c>
      <c r="J1580" s="4" t="s">
        <v>4829</v>
      </c>
      <c r="K1580" s="4" t="s">
        <v>4999</v>
      </c>
      <c r="L1580" s="5">
        <v>17456</v>
      </c>
    </row>
    <row r="1581" spans="1:12" x14ac:dyDescent="0.25">
      <c r="A1581" s="3" t="s">
        <v>1057</v>
      </c>
      <c r="B1581" s="4" t="s">
        <v>4643</v>
      </c>
      <c r="C1581" s="4" t="s">
        <v>14</v>
      </c>
      <c r="D1581" s="4" t="s">
        <v>15</v>
      </c>
      <c r="E1581" s="5" t="str">
        <f>"9050184"</f>
        <v>9050184</v>
      </c>
      <c r="F1581" s="3" t="s">
        <v>5000</v>
      </c>
      <c r="G1581" s="5">
        <v>2109610234</v>
      </c>
      <c r="H1581" s="4" t="s">
        <v>5001</v>
      </c>
      <c r="I1581" s="4" t="s">
        <v>4654</v>
      </c>
      <c r="J1581" s="4" t="s">
        <v>4655</v>
      </c>
      <c r="K1581" s="4" t="s">
        <v>5002</v>
      </c>
      <c r="L1581" s="5">
        <v>16452</v>
      </c>
    </row>
    <row r="1582" spans="1:12" x14ac:dyDescent="0.25">
      <c r="A1582" s="3" t="s">
        <v>1057</v>
      </c>
      <c r="B1582" s="4" t="s">
        <v>4643</v>
      </c>
      <c r="C1582" s="4" t="s">
        <v>14</v>
      </c>
      <c r="D1582" s="4" t="s">
        <v>15</v>
      </c>
      <c r="E1582" s="5" t="str">
        <f>"9051169"</f>
        <v>9051169</v>
      </c>
      <c r="F1582" s="3" t="s">
        <v>5003</v>
      </c>
      <c r="G1582" s="5">
        <v>2109919584</v>
      </c>
      <c r="H1582" s="4" t="s">
        <v>5004</v>
      </c>
      <c r="I1582" s="4" t="s">
        <v>4654</v>
      </c>
      <c r="J1582" s="4" t="s">
        <v>4655</v>
      </c>
      <c r="K1582" s="4" t="s">
        <v>5005</v>
      </c>
      <c r="L1582" s="5">
        <v>16451</v>
      </c>
    </row>
    <row r="1583" spans="1:12" x14ac:dyDescent="0.25">
      <c r="A1583" s="3" t="s">
        <v>1057</v>
      </c>
      <c r="B1583" s="4" t="s">
        <v>4643</v>
      </c>
      <c r="C1583" s="4" t="s">
        <v>25</v>
      </c>
      <c r="D1583" s="4" t="s">
        <v>26</v>
      </c>
      <c r="E1583" s="5" t="str">
        <f>"9520420"</f>
        <v>9520420</v>
      </c>
      <c r="F1583" s="3" t="s">
        <v>5006</v>
      </c>
      <c r="G1583" s="5">
        <v>2109910720</v>
      </c>
      <c r="H1583" s="4" t="s">
        <v>5007</v>
      </c>
      <c r="I1583" s="4" t="s">
        <v>4828</v>
      </c>
      <c r="J1583" s="4" t="s">
        <v>4829</v>
      </c>
      <c r="K1583" s="4" t="s">
        <v>5008</v>
      </c>
      <c r="L1583" s="5">
        <v>17456</v>
      </c>
    </row>
    <row r="1584" spans="1:12" x14ac:dyDescent="0.25">
      <c r="A1584" s="3" t="s">
        <v>1057</v>
      </c>
      <c r="B1584" s="4" t="s">
        <v>4643</v>
      </c>
      <c r="C1584" s="4" t="s">
        <v>14</v>
      </c>
      <c r="D1584" s="4" t="s">
        <v>15</v>
      </c>
      <c r="E1584" s="5" t="str">
        <f>"9051334"</f>
        <v>9051334</v>
      </c>
      <c r="F1584" s="3" t="s">
        <v>5009</v>
      </c>
      <c r="G1584" s="5">
        <v>2109837627</v>
      </c>
      <c r="H1584" s="4" t="s">
        <v>5010</v>
      </c>
      <c r="I1584" s="4" t="s">
        <v>4753</v>
      </c>
      <c r="J1584" s="4" t="s">
        <v>4754</v>
      </c>
      <c r="K1584" s="4" t="s">
        <v>5011</v>
      </c>
      <c r="L1584" s="5">
        <v>17341</v>
      </c>
    </row>
    <row r="1585" spans="1:12" x14ac:dyDescent="0.25">
      <c r="A1585" s="3" t="s">
        <v>1057</v>
      </c>
      <c r="B1585" s="4" t="s">
        <v>4643</v>
      </c>
      <c r="C1585" s="4" t="s">
        <v>14</v>
      </c>
      <c r="D1585" s="4" t="s">
        <v>15</v>
      </c>
      <c r="E1585" s="5" t="str">
        <f>"9050328"</f>
        <v>9050328</v>
      </c>
      <c r="F1585" s="3" t="s">
        <v>5012</v>
      </c>
      <c r="G1585" s="5">
        <v>2103464247</v>
      </c>
      <c r="H1585" s="4" t="s">
        <v>5013</v>
      </c>
      <c r="I1585" s="4" t="s">
        <v>4679</v>
      </c>
      <c r="J1585" s="4" t="s">
        <v>4845</v>
      </c>
      <c r="K1585" s="4" t="s">
        <v>5014</v>
      </c>
      <c r="L1585" s="5">
        <v>17778</v>
      </c>
    </row>
    <row r="1586" spans="1:12" x14ac:dyDescent="0.25">
      <c r="A1586" s="3" t="s">
        <v>1057</v>
      </c>
      <c r="B1586" s="4" t="s">
        <v>4643</v>
      </c>
      <c r="C1586" s="4" t="s">
        <v>14</v>
      </c>
      <c r="D1586" s="4" t="s">
        <v>15</v>
      </c>
      <c r="E1586" s="5" t="str">
        <f>"9050230"</f>
        <v>9050230</v>
      </c>
      <c r="F1586" s="3" t="s">
        <v>5015</v>
      </c>
      <c r="G1586" s="5">
        <v>2104825966</v>
      </c>
      <c r="H1586" s="4" t="s">
        <v>5016</v>
      </c>
      <c r="I1586" s="4" t="s">
        <v>4679</v>
      </c>
      <c r="J1586" s="4" t="s">
        <v>4698</v>
      </c>
      <c r="K1586" s="4" t="s">
        <v>5017</v>
      </c>
      <c r="L1586" s="5">
        <v>18345</v>
      </c>
    </row>
    <row r="1587" spans="1:12" x14ac:dyDescent="0.25">
      <c r="A1587" s="3" t="s">
        <v>1057</v>
      </c>
      <c r="B1587" s="4" t="s">
        <v>4643</v>
      </c>
      <c r="C1587" s="4" t="s">
        <v>14</v>
      </c>
      <c r="D1587" s="4" t="s">
        <v>15</v>
      </c>
      <c r="E1587" s="5" t="str">
        <f>"9051335"</f>
        <v>9051335</v>
      </c>
      <c r="F1587" s="3" t="s">
        <v>5018</v>
      </c>
      <c r="G1587" s="5">
        <v>2109411776</v>
      </c>
      <c r="H1587" s="4" t="s">
        <v>5019</v>
      </c>
      <c r="I1587" s="4" t="s">
        <v>4659</v>
      </c>
      <c r="J1587" s="4" t="s">
        <v>4660</v>
      </c>
      <c r="K1587" s="4" t="s">
        <v>5020</v>
      </c>
      <c r="L1587" s="5">
        <v>17675</v>
      </c>
    </row>
    <row r="1588" spans="1:12" x14ac:dyDescent="0.25">
      <c r="A1588" s="3" t="s">
        <v>1057</v>
      </c>
      <c r="B1588" s="4" t="s">
        <v>4643</v>
      </c>
      <c r="C1588" s="4" t="s">
        <v>25</v>
      </c>
      <c r="D1588" s="4" t="s">
        <v>26</v>
      </c>
      <c r="E1588" s="5" t="str">
        <f>"9520429"</f>
        <v>9520429</v>
      </c>
      <c r="F1588" s="3" t="s">
        <v>5021</v>
      </c>
      <c r="G1588" s="5">
        <v>2109319360</v>
      </c>
      <c r="H1588" s="4" t="s">
        <v>5022</v>
      </c>
      <c r="I1588" s="4" t="s">
        <v>4772</v>
      </c>
      <c r="J1588" s="4" t="s">
        <v>4787</v>
      </c>
      <c r="K1588" s="4" t="s">
        <v>5023</v>
      </c>
      <c r="L1588" s="5">
        <v>17564</v>
      </c>
    </row>
    <row r="1589" spans="1:12" x14ac:dyDescent="0.25">
      <c r="A1589" s="3" t="s">
        <v>1057</v>
      </c>
      <c r="B1589" s="4" t="s">
        <v>4643</v>
      </c>
      <c r="C1589" s="4" t="s">
        <v>25</v>
      </c>
      <c r="D1589" s="4" t="s">
        <v>26</v>
      </c>
      <c r="E1589" s="5" t="str">
        <f>"9050205"</f>
        <v>9050205</v>
      </c>
      <c r="F1589" s="3" t="s">
        <v>5024</v>
      </c>
      <c r="G1589" s="5">
        <v>2109613009</v>
      </c>
      <c r="H1589" s="4" t="s">
        <v>5025</v>
      </c>
      <c r="I1589" s="4" t="s">
        <v>4646</v>
      </c>
      <c r="J1589" s="4" t="s">
        <v>4647</v>
      </c>
      <c r="K1589" s="4" t="s">
        <v>5026</v>
      </c>
      <c r="L1589" s="5">
        <v>16562</v>
      </c>
    </row>
    <row r="1590" spans="1:12" x14ac:dyDescent="0.25">
      <c r="A1590" s="3" t="s">
        <v>1057</v>
      </c>
      <c r="B1590" s="4" t="s">
        <v>4643</v>
      </c>
      <c r="C1590" s="4" t="s">
        <v>25</v>
      </c>
      <c r="D1590" s="4" t="s">
        <v>26</v>
      </c>
      <c r="E1590" s="5" t="str">
        <f>"9051894"</f>
        <v>9051894</v>
      </c>
      <c r="F1590" s="3" t="s">
        <v>5027</v>
      </c>
      <c r="G1590" s="5">
        <v>2103414316</v>
      </c>
      <c r="H1590" s="4" t="s">
        <v>5028</v>
      </c>
      <c r="I1590" s="4" t="s">
        <v>4679</v>
      </c>
      <c r="J1590" s="4" t="s">
        <v>5029</v>
      </c>
      <c r="K1590" s="4" t="s">
        <v>5030</v>
      </c>
      <c r="L1590" s="5">
        <v>17778</v>
      </c>
    </row>
    <row r="1591" spans="1:12" x14ac:dyDescent="0.25">
      <c r="A1591" s="3" t="s">
        <v>1057</v>
      </c>
      <c r="B1591" s="4" t="s">
        <v>4643</v>
      </c>
      <c r="C1591" s="4" t="s">
        <v>14</v>
      </c>
      <c r="D1591" s="4" t="s">
        <v>15</v>
      </c>
      <c r="E1591" s="5" t="str">
        <f>"9050207"</f>
        <v>9050207</v>
      </c>
      <c r="F1591" s="3" t="s">
        <v>5031</v>
      </c>
      <c r="G1591" s="5">
        <v>2109610842</v>
      </c>
      <c r="H1591" s="4" t="s">
        <v>5032</v>
      </c>
      <c r="I1591" s="4" t="s">
        <v>4646</v>
      </c>
      <c r="J1591" s="4" t="s">
        <v>5033</v>
      </c>
      <c r="K1591" s="4" t="s">
        <v>5034</v>
      </c>
      <c r="L1591" s="5">
        <v>16562</v>
      </c>
    </row>
    <row r="1592" spans="1:12" x14ac:dyDescent="0.25">
      <c r="A1592" s="3" t="s">
        <v>1057</v>
      </c>
      <c r="B1592" s="4" t="s">
        <v>4643</v>
      </c>
      <c r="C1592" s="4" t="s">
        <v>25</v>
      </c>
      <c r="D1592" s="4" t="s">
        <v>26</v>
      </c>
      <c r="E1592" s="5" t="str">
        <f>"9520356"</f>
        <v>9520356</v>
      </c>
      <c r="F1592" s="3" t="s">
        <v>5035</v>
      </c>
      <c r="G1592" s="5">
        <v>2109846744</v>
      </c>
      <c r="H1592" s="4" t="s">
        <v>5036</v>
      </c>
      <c r="I1592" s="4" t="s">
        <v>4753</v>
      </c>
      <c r="J1592" s="4" t="s">
        <v>4754</v>
      </c>
      <c r="K1592" s="4" t="s">
        <v>5037</v>
      </c>
      <c r="L1592" s="5">
        <v>17341</v>
      </c>
    </row>
    <row r="1593" spans="1:12" x14ac:dyDescent="0.25">
      <c r="A1593" s="3" t="s">
        <v>1057</v>
      </c>
      <c r="B1593" s="4" t="s">
        <v>4643</v>
      </c>
      <c r="C1593" s="4" t="s">
        <v>25</v>
      </c>
      <c r="D1593" s="4" t="s">
        <v>26</v>
      </c>
      <c r="E1593" s="5" t="str">
        <f>"9520375"</f>
        <v>9520375</v>
      </c>
      <c r="F1593" s="3" t="s">
        <v>5038</v>
      </c>
      <c r="G1593" s="5">
        <v>2109836634</v>
      </c>
      <c r="H1593" s="4" t="s">
        <v>5039</v>
      </c>
      <c r="I1593" s="4" t="s">
        <v>4828</v>
      </c>
      <c r="J1593" s="4" t="s">
        <v>4829</v>
      </c>
      <c r="K1593" s="4" t="s">
        <v>5040</v>
      </c>
      <c r="L1593" s="5">
        <v>17455</v>
      </c>
    </row>
    <row r="1594" spans="1:12" x14ac:dyDescent="0.25">
      <c r="A1594" s="3" t="s">
        <v>1057</v>
      </c>
      <c r="B1594" s="4" t="s">
        <v>4643</v>
      </c>
      <c r="C1594" s="4" t="s">
        <v>25</v>
      </c>
      <c r="D1594" s="4" t="s">
        <v>26</v>
      </c>
      <c r="E1594" s="5" t="str">
        <f>"9051243"</f>
        <v>9051243</v>
      </c>
      <c r="F1594" s="3" t="s">
        <v>5041</v>
      </c>
      <c r="G1594" s="5">
        <v>2109701450</v>
      </c>
      <c r="H1594" s="4" t="s">
        <v>5042</v>
      </c>
      <c r="I1594" s="4" t="s">
        <v>4753</v>
      </c>
      <c r="J1594" s="4" t="s">
        <v>4754</v>
      </c>
      <c r="K1594" s="4" t="s">
        <v>5043</v>
      </c>
      <c r="L1594" s="5">
        <v>17343</v>
      </c>
    </row>
    <row r="1595" spans="1:12" x14ac:dyDescent="0.25">
      <c r="A1595" s="3" t="s">
        <v>1057</v>
      </c>
      <c r="B1595" s="4" t="s">
        <v>4643</v>
      </c>
      <c r="C1595" s="4" t="s">
        <v>25</v>
      </c>
      <c r="D1595" s="4" t="s">
        <v>26</v>
      </c>
      <c r="E1595" s="5" t="str">
        <f>"9051003"</f>
        <v>9051003</v>
      </c>
      <c r="F1595" s="3" t="s">
        <v>5044</v>
      </c>
      <c r="G1595" s="5">
        <v>2109850097</v>
      </c>
      <c r="H1595" s="4" t="s">
        <v>5045</v>
      </c>
      <c r="I1595" s="4" t="s">
        <v>4772</v>
      </c>
      <c r="J1595" s="4" t="s">
        <v>4787</v>
      </c>
      <c r="K1595" s="4" t="s">
        <v>4961</v>
      </c>
      <c r="L1595" s="5">
        <v>17563</v>
      </c>
    </row>
    <row r="1596" spans="1:12" x14ac:dyDescent="0.25">
      <c r="A1596" s="3" t="s">
        <v>1057</v>
      </c>
      <c r="B1596" s="4" t="s">
        <v>4643</v>
      </c>
      <c r="C1596" s="4" t="s">
        <v>14</v>
      </c>
      <c r="D1596" s="4" t="s">
        <v>15</v>
      </c>
      <c r="E1596" s="5" t="str">
        <f>"9050203"</f>
        <v>9050203</v>
      </c>
      <c r="F1596" s="3" t="s">
        <v>5046</v>
      </c>
      <c r="G1596" s="5">
        <v>2109824529</v>
      </c>
      <c r="H1596" s="4" t="s">
        <v>5047</v>
      </c>
      <c r="I1596" s="4" t="s">
        <v>4772</v>
      </c>
      <c r="J1596" s="4" t="s">
        <v>4777</v>
      </c>
      <c r="K1596" s="4" t="s">
        <v>5048</v>
      </c>
      <c r="L1596" s="5">
        <v>17562</v>
      </c>
    </row>
    <row r="1597" spans="1:12" x14ac:dyDescent="0.25">
      <c r="A1597" s="3" t="s">
        <v>1057</v>
      </c>
      <c r="B1597" s="4" t="s">
        <v>4643</v>
      </c>
      <c r="C1597" s="4" t="s">
        <v>25</v>
      </c>
      <c r="D1597" s="4" t="s">
        <v>26</v>
      </c>
      <c r="E1597" s="5" t="str">
        <f>"9051248"</f>
        <v>9051248</v>
      </c>
      <c r="F1597" s="3" t="s">
        <v>5049</v>
      </c>
      <c r="G1597" s="5">
        <v>2109616530</v>
      </c>
      <c r="H1597" s="4" t="s">
        <v>5050</v>
      </c>
      <c r="I1597" s="4" t="s">
        <v>4654</v>
      </c>
      <c r="J1597" s="4" t="s">
        <v>4655</v>
      </c>
      <c r="K1597" s="4" t="s">
        <v>5051</v>
      </c>
      <c r="L1597" s="5">
        <v>16452</v>
      </c>
    </row>
    <row r="1598" spans="1:12" x14ac:dyDescent="0.25">
      <c r="A1598" s="3" t="s">
        <v>1057</v>
      </c>
      <c r="B1598" s="4" t="s">
        <v>4643</v>
      </c>
      <c r="C1598" s="4" t="s">
        <v>25</v>
      </c>
      <c r="D1598" s="4" t="s">
        <v>26</v>
      </c>
      <c r="E1598" s="5" t="str">
        <f>"9051073"</f>
        <v>9051073</v>
      </c>
      <c r="F1598" s="3" t="s">
        <v>5052</v>
      </c>
      <c r="G1598" s="5">
        <v>2109370560</v>
      </c>
      <c r="H1598" s="4" t="s">
        <v>5053</v>
      </c>
      <c r="I1598" s="4" t="s">
        <v>4753</v>
      </c>
      <c r="J1598" s="4" t="s">
        <v>4754</v>
      </c>
      <c r="K1598" s="4" t="s">
        <v>5054</v>
      </c>
      <c r="L1598" s="5">
        <v>17341</v>
      </c>
    </row>
    <row r="1599" spans="1:12" x14ac:dyDescent="0.25">
      <c r="A1599" s="3" t="s">
        <v>1057</v>
      </c>
      <c r="B1599" s="4" t="s">
        <v>4643</v>
      </c>
      <c r="C1599" s="4" t="s">
        <v>14</v>
      </c>
      <c r="D1599" s="4" t="s">
        <v>15</v>
      </c>
      <c r="E1599" s="5" t="str">
        <f>"9050973"</f>
        <v>9050973</v>
      </c>
      <c r="F1599" s="3" t="s">
        <v>5055</v>
      </c>
      <c r="G1599" s="5">
        <v>2109564600</v>
      </c>
      <c r="H1599" s="4" t="s">
        <v>5056</v>
      </c>
      <c r="I1599" s="4" t="s">
        <v>4659</v>
      </c>
      <c r="J1599" s="4" t="s">
        <v>4660</v>
      </c>
      <c r="K1599" s="4" t="s">
        <v>5057</v>
      </c>
      <c r="L1599" s="5">
        <v>17673</v>
      </c>
    </row>
    <row r="1600" spans="1:12" ht="30" x14ac:dyDescent="0.25">
      <c r="A1600" s="3" t="s">
        <v>1057</v>
      </c>
      <c r="B1600" s="4" t="s">
        <v>4643</v>
      </c>
      <c r="C1600" s="4" t="s">
        <v>14</v>
      </c>
      <c r="D1600" s="4" t="s">
        <v>15</v>
      </c>
      <c r="E1600" s="5" t="str">
        <f>"9050201"</f>
        <v>9050201</v>
      </c>
      <c r="F1600" s="3" t="s">
        <v>5058</v>
      </c>
      <c r="G1600" s="5">
        <v>2109829925</v>
      </c>
      <c r="H1600" s="4" t="s">
        <v>5059</v>
      </c>
      <c r="I1600" s="4" t="s">
        <v>4772</v>
      </c>
      <c r="J1600" s="4" t="s">
        <v>4787</v>
      </c>
      <c r="K1600" s="4" t="s">
        <v>5060</v>
      </c>
      <c r="L1600" s="5">
        <v>17561</v>
      </c>
    </row>
    <row r="1601" spans="1:12" x14ac:dyDescent="0.25">
      <c r="A1601" s="3" t="s">
        <v>1057</v>
      </c>
      <c r="B1601" s="4" t="s">
        <v>4643</v>
      </c>
      <c r="C1601" s="4" t="s">
        <v>14</v>
      </c>
      <c r="D1601" s="4" t="s">
        <v>15</v>
      </c>
      <c r="E1601" s="5" t="str">
        <f>"9050222"</f>
        <v>9050222</v>
      </c>
      <c r="F1601" s="3" t="s">
        <v>5061</v>
      </c>
      <c r="G1601" s="5">
        <v>2109511707</v>
      </c>
      <c r="H1601" s="4" t="s">
        <v>5062</v>
      </c>
      <c r="I1601" s="4" t="s">
        <v>4659</v>
      </c>
      <c r="J1601" s="4" t="s">
        <v>4660</v>
      </c>
      <c r="K1601" s="4" t="s">
        <v>5063</v>
      </c>
      <c r="L1601" s="5">
        <v>17675</v>
      </c>
    </row>
    <row r="1602" spans="1:12" x14ac:dyDescent="0.25">
      <c r="A1602" s="3" t="s">
        <v>1057</v>
      </c>
      <c r="B1602" s="4" t="s">
        <v>4643</v>
      </c>
      <c r="C1602" s="4" t="s">
        <v>14</v>
      </c>
      <c r="D1602" s="4" t="s">
        <v>15</v>
      </c>
      <c r="E1602" s="5" t="str">
        <f>"9050141"</f>
        <v>9050141</v>
      </c>
      <c r="F1602" s="3" t="s">
        <v>5064</v>
      </c>
      <c r="G1602" s="5">
        <v>2109717510</v>
      </c>
      <c r="H1602" s="4" t="s">
        <v>5065</v>
      </c>
      <c r="I1602" s="4" t="s">
        <v>4753</v>
      </c>
      <c r="J1602" s="4" t="s">
        <v>4754</v>
      </c>
      <c r="K1602" s="4" t="s">
        <v>5066</v>
      </c>
      <c r="L1602" s="5">
        <v>17341</v>
      </c>
    </row>
    <row r="1603" spans="1:12" x14ac:dyDescent="0.25">
      <c r="A1603" s="3" t="s">
        <v>1057</v>
      </c>
      <c r="B1603" s="4" t="s">
        <v>4643</v>
      </c>
      <c r="C1603" s="4" t="s">
        <v>14</v>
      </c>
      <c r="D1603" s="4" t="s">
        <v>15</v>
      </c>
      <c r="E1603" s="5" t="str">
        <f>"9051160"</f>
        <v>9051160</v>
      </c>
      <c r="F1603" s="3" t="s">
        <v>5067</v>
      </c>
      <c r="G1603" s="5">
        <v>2109821203</v>
      </c>
      <c r="H1603" s="4" t="s">
        <v>5068</v>
      </c>
      <c r="I1603" s="4" t="s">
        <v>4772</v>
      </c>
      <c r="J1603" s="4" t="s">
        <v>4787</v>
      </c>
      <c r="K1603" s="4" t="s">
        <v>5069</v>
      </c>
      <c r="L1603" s="5">
        <v>17563</v>
      </c>
    </row>
    <row r="1604" spans="1:12" x14ac:dyDescent="0.25">
      <c r="A1604" s="3" t="s">
        <v>1057</v>
      </c>
      <c r="B1604" s="4" t="s">
        <v>4643</v>
      </c>
      <c r="C1604" s="4" t="s">
        <v>14</v>
      </c>
      <c r="D1604" s="4" t="s">
        <v>15</v>
      </c>
      <c r="E1604" s="5" t="str">
        <f>"9050237"</f>
        <v>9050237</v>
      </c>
      <c r="F1604" s="3" t="s">
        <v>5070</v>
      </c>
      <c r="G1604" s="5">
        <v>2109345760</v>
      </c>
      <c r="H1604" s="4" t="s">
        <v>5071</v>
      </c>
      <c r="I1604" s="4" t="s">
        <v>4758</v>
      </c>
      <c r="J1604" s="4" t="s">
        <v>4759</v>
      </c>
      <c r="K1604" s="4" t="s">
        <v>5072</v>
      </c>
      <c r="L1604" s="5">
        <v>17123</v>
      </c>
    </row>
    <row r="1605" spans="1:12" x14ac:dyDescent="0.25">
      <c r="A1605" s="3" t="s">
        <v>1057</v>
      </c>
      <c r="B1605" s="4" t="s">
        <v>4643</v>
      </c>
      <c r="C1605" s="4" t="s">
        <v>25</v>
      </c>
      <c r="D1605" s="4" t="s">
        <v>26</v>
      </c>
      <c r="E1605" s="5" t="str">
        <f>"9520409"</f>
        <v>9520409</v>
      </c>
      <c r="F1605" s="3" t="s">
        <v>5073</v>
      </c>
      <c r="G1605" s="5">
        <v>2109338336</v>
      </c>
      <c r="H1605" s="4" t="s">
        <v>5074</v>
      </c>
      <c r="I1605" s="4" t="s">
        <v>4758</v>
      </c>
      <c r="J1605" s="4" t="s">
        <v>4759</v>
      </c>
      <c r="K1605" s="4" t="s">
        <v>4990</v>
      </c>
      <c r="L1605" s="5">
        <v>17123</v>
      </c>
    </row>
    <row r="1606" spans="1:12" x14ac:dyDescent="0.25">
      <c r="A1606" s="3" t="s">
        <v>1057</v>
      </c>
      <c r="B1606" s="4" t="s">
        <v>4643</v>
      </c>
      <c r="C1606" s="4" t="s">
        <v>14</v>
      </c>
      <c r="D1606" s="4" t="s">
        <v>15</v>
      </c>
      <c r="E1606" s="5" t="str">
        <f>"9050815"</f>
        <v>9050815</v>
      </c>
      <c r="F1606" s="3" t="s">
        <v>5075</v>
      </c>
      <c r="G1606" s="5">
        <v>2109619957</v>
      </c>
      <c r="H1606" s="4" t="s">
        <v>5076</v>
      </c>
      <c r="I1606" s="4" t="s">
        <v>4646</v>
      </c>
      <c r="J1606" s="4" t="s">
        <v>4647</v>
      </c>
      <c r="K1606" s="4" t="s">
        <v>5077</v>
      </c>
      <c r="L1606" s="5">
        <v>16561</v>
      </c>
    </row>
    <row r="1607" spans="1:12" x14ac:dyDescent="0.25">
      <c r="A1607" s="3" t="s">
        <v>1057</v>
      </c>
      <c r="B1607" s="4" t="s">
        <v>4643</v>
      </c>
      <c r="C1607" s="4" t="s">
        <v>25</v>
      </c>
      <c r="D1607" s="4" t="s">
        <v>26</v>
      </c>
      <c r="E1607" s="5" t="str">
        <f>"9520526"</f>
        <v>9520526</v>
      </c>
      <c r="F1607" s="3" t="s">
        <v>5078</v>
      </c>
      <c r="G1607" s="5">
        <v>2109402510</v>
      </c>
      <c r="H1607" s="4" t="s">
        <v>5079</v>
      </c>
      <c r="I1607" s="4" t="s">
        <v>4772</v>
      </c>
      <c r="J1607" s="4" t="s">
        <v>4787</v>
      </c>
      <c r="K1607" s="4" t="s">
        <v>4921</v>
      </c>
      <c r="L1607" s="5">
        <v>17564</v>
      </c>
    </row>
    <row r="1608" spans="1:12" x14ac:dyDescent="0.25">
      <c r="A1608" s="3" t="s">
        <v>1057</v>
      </c>
      <c r="B1608" s="4" t="s">
        <v>4643</v>
      </c>
      <c r="C1608" s="4" t="s">
        <v>14</v>
      </c>
      <c r="D1608" s="4" t="s">
        <v>15</v>
      </c>
      <c r="E1608" s="5" t="str">
        <f>"9051168"</f>
        <v>9051168</v>
      </c>
      <c r="F1608" s="3" t="s">
        <v>5080</v>
      </c>
      <c r="G1608" s="5">
        <v>2109618827</v>
      </c>
      <c r="H1608" s="4" t="s">
        <v>5081</v>
      </c>
      <c r="I1608" s="4" t="s">
        <v>4654</v>
      </c>
      <c r="J1608" s="4" t="s">
        <v>4694</v>
      </c>
      <c r="K1608" s="4" t="s">
        <v>5082</v>
      </c>
      <c r="L1608" s="5">
        <v>16777</v>
      </c>
    </row>
    <row r="1609" spans="1:12" x14ac:dyDescent="0.25">
      <c r="A1609" s="3" t="s">
        <v>1057</v>
      </c>
      <c r="B1609" s="4" t="s">
        <v>4643</v>
      </c>
      <c r="C1609" s="4" t="s">
        <v>14</v>
      </c>
      <c r="D1609" s="4" t="s">
        <v>15</v>
      </c>
      <c r="E1609" s="5" t="str">
        <f>"9050332"</f>
        <v>9050332</v>
      </c>
      <c r="F1609" s="3" t="s">
        <v>5083</v>
      </c>
      <c r="G1609" s="5">
        <v>2104823801</v>
      </c>
      <c r="H1609" s="4" t="s">
        <v>5084</v>
      </c>
      <c r="I1609" s="4" t="s">
        <v>4679</v>
      </c>
      <c r="J1609" s="4" t="s">
        <v>4845</v>
      </c>
      <c r="K1609" s="4" t="s">
        <v>5085</v>
      </c>
      <c r="L1609" s="5">
        <v>17778</v>
      </c>
    </row>
    <row r="1610" spans="1:12" x14ac:dyDescent="0.25">
      <c r="A1610" s="3" t="s">
        <v>1057</v>
      </c>
      <c r="B1610" s="4" t="s">
        <v>4643</v>
      </c>
      <c r="C1610" s="4" t="s">
        <v>14</v>
      </c>
      <c r="D1610" s="4" t="s">
        <v>15</v>
      </c>
      <c r="E1610" s="5" t="str">
        <f>"9050235"</f>
        <v>9050235</v>
      </c>
      <c r="F1610" s="3" t="s">
        <v>5086</v>
      </c>
      <c r="G1610" s="5">
        <v>2109336779</v>
      </c>
      <c r="H1610" s="4" t="s">
        <v>5087</v>
      </c>
      <c r="I1610" s="4" t="s">
        <v>4758</v>
      </c>
      <c r="J1610" s="4" t="s">
        <v>4759</v>
      </c>
      <c r="K1610" s="4" t="s">
        <v>5088</v>
      </c>
      <c r="L1610" s="5">
        <v>17124</v>
      </c>
    </row>
    <row r="1611" spans="1:12" x14ac:dyDescent="0.25">
      <c r="A1611" s="3" t="s">
        <v>1057</v>
      </c>
      <c r="B1611" s="4" t="s">
        <v>4643</v>
      </c>
      <c r="C1611" s="4" t="s">
        <v>25</v>
      </c>
      <c r="D1611" s="4" t="s">
        <v>26</v>
      </c>
      <c r="E1611" s="5" t="str">
        <f>"9051315"</f>
        <v>9051315</v>
      </c>
      <c r="F1611" s="3" t="s">
        <v>5089</v>
      </c>
      <c r="G1611" s="5">
        <v>2109330493</v>
      </c>
      <c r="H1611" s="4" t="s">
        <v>5090</v>
      </c>
      <c r="I1611" s="4" t="s">
        <v>4753</v>
      </c>
      <c r="J1611" s="4" t="s">
        <v>4754</v>
      </c>
      <c r="K1611" s="4" t="s">
        <v>5091</v>
      </c>
      <c r="L1611" s="5">
        <v>17341</v>
      </c>
    </row>
    <row r="1612" spans="1:12" x14ac:dyDescent="0.25">
      <c r="A1612" s="3" t="s">
        <v>1057</v>
      </c>
      <c r="B1612" s="4" t="s">
        <v>4643</v>
      </c>
      <c r="C1612" s="4" t="s">
        <v>25</v>
      </c>
      <c r="D1612" s="4" t="s">
        <v>26</v>
      </c>
      <c r="E1612" s="5" t="str">
        <f>"9050893"</f>
        <v>9050893</v>
      </c>
      <c r="F1612" s="3" t="s">
        <v>5092</v>
      </c>
      <c r="G1612" s="5">
        <v>2109337044</v>
      </c>
      <c r="H1612" s="4" t="s">
        <v>5093</v>
      </c>
      <c r="I1612" s="4" t="s">
        <v>4758</v>
      </c>
      <c r="J1612" s="4" t="s">
        <v>4759</v>
      </c>
      <c r="K1612" s="4" t="s">
        <v>5094</v>
      </c>
      <c r="L1612" s="5">
        <v>17121</v>
      </c>
    </row>
    <row r="1613" spans="1:12" x14ac:dyDescent="0.25">
      <c r="A1613" s="3" t="s">
        <v>1057</v>
      </c>
      <c r="B1613" s="4" t="s">
        <v>4643</v>
      </c>
      <c r="C1613" s="4" t="s">
        <v>25</v>
      </c>
      <c r="D1613" s="4" t="s">
        <v>26</v>
      </c>
      <c r="E1613" s="5" t="str">
        <f>"9051077"</f>
        <v>9051077</v>
      </c>
      <c r="F1613" s="3" t="s">
        <v>5095</v>
      </c>
      <c r="G1613" s="5">
        <v>2109941390</v>
      </c>
      <c r="H1613" s="4" t="s">
        <v>5096</v>
      </c>
      <c r="I1613" s="4" t="s">
        <v>4654</v>
      </c>
      <c r="J1613" s="4" t="s">
        <v>4655</v>
      </c>
      <c r="K1613" s="4" t="s">
        <v>5097</v>
      </c>
      <c r="L1613" s="5">
        <v>16452</v>
      </c>
    </row>
    <row r="1614" spans="1:12" x14ac:dyDescent="0.25">
      <c r="A1614" s="3" t="s">
        <v>1057</v>
      </c>
      <c r="B1614" s="4" t="s">
        <v>4643</v>
      </c>
      <c r="C1614" s="4" t="s">
        <v>25</v>
      </c>
      <c r="D1614" s="4" t="s">
        <v>26</v>
      </c>
      <c r="E1614" s="5" t="str">
        <f>"9520398"</f>
        <v>9520398</v>
      </c>
      <c r="F1614" s="3" t="s">
        <v>5098</v>
      </c>
      <c r="G1614" s="5">
        <v>2109335405</v>
      </c>
      <c r="H1614" s="4" t="s">
        <v>5099</v>
      </c>
      <c r="I1614" s="4" t="s">
        <v>4758</v>
      </c>
      <c r="J1614" s="4" t="s">
        <v>4759</v>
      </c>
      <c r="K1614" s="4" t="s">
        <v>5100</v>
      </c>
      <c r="L1614" s="5">
        <v>17122</v>
      </c>
    </row>
    <row r="1615" spans="1:12" x14ac:dyDescent="0.25">
      <c r="A1615" s="3" t="s">
        <v>1057</v>
      </c>
      <c r="B1615" s="4" t="s">
        <v>4643</v>
      </c>
      <c r="C1615" s="4" t="s">
        <v>14</v>
      </c>
      <c r="D1615" s="4" t="s">
        <v>15</v>
      </c>
      <c r="E1615" s="5" t="str">
        <f>"9050145"</f>
        <v>9050145</v>
      </c>
      <c r="F1615" s="3" t="s">
        <v>5101</v>
      </c>
      <c r="G1615" s="5">
        <v>2109333194</v>
      </c>
      <c r="H1615" s="4" t="s">
        <v>5102</v>
      </c>
      <c r="I1615" s="4" t="s">
        <v>4753</v>
      </c>
      <c r="J1615" s="4" t="s">
        <v>4806</v>
      </c>
      <c r="K1615" s="4" t="s">
        <v>5103</v>
      </c>
      <c r="L1615" s="5">
        <v>17341</v>
      </c>
    </row>
    <row r="1616" spans="1:12" x14ac:dyDescent="0.25">
      <c r="A1616" s="3" t="s">
        <v>1057</v>
      </c>
      <c r="B1616" s="4" t="s">
        <v>4643</v>
      </c>
      <c r="C1616" s="4" t="s">
        <v>25</v>
      </c>
      <c r="D1616" s="4" t="s">
        <v>26</v>
      </c>
      <c r="E1616" s="5" t="str">
        <f>"9050941"</f>
        <v>9050941</v>
      </c>
      <c r="F1616" s="3" t="s">
        <v>5104</v>
      </c>
      <c r="G1616" s="5">
        <v>2109917441</v>
      </c>
      <c r="H1616" s="4" t="s">
        <v>5105</v>
      </c>
      <c r="I1616" s="4" t="s">
        <v>4753</v>
      </c>
      <c r="J1616" s="4" t="s">
        <v>4754</v>
      </c>
      <c r="K1616" s="4" t="s">
        <v>5106</v>
      </c>
      <c r="L1616" s="5">
        <v>17342</v>
      </c>
    </row>
    <row r="1617" spans="1:12" x14ac:dyDescent="0.25">
      <c r="A1617" s="3" t="s">
        <v>1057</v>
      </c>
      <c r="B1617" s="4" t="s">
        <v>4643</v>
      </c>
      <c r="C1617" s="4" t="s">
        <v>14</v>
      </c>
      <c r="D1617" s="4" t="s">
        <v>15</v>
      </c>
      <c r="E1617" s="5" t="str">
        <f>"9050215"</f>
        <v>9050215</v>
      </c>
      <c r="F1617" s="3" t="s">
        <v>5107</v>
      </c>
      <c r="G1617" s="5">
        <v>2109578829</v>
      </c>
      <c r="H1617" s="4" t="s">
        <v>5108</v>
      </c>
      <c r="I1617" s="4" t="s">
        <v>4659</v>
      </c>
      <c r="J1617" s="4" t="s">
        <v>5109</v>
      </c>
      <c r="K1617" s="4" t="s">
        <v>4705</v>
      </c>
      <c r="L1617" s="5">
        <v>17673</v>
      </c>
    </row>
    <row r="1618" spans="1:12" x14ac:dyDescent="0.25">
      <c r="A1618" s="3" t="s">
        <v>1057</v>
      </c>
      <c r="B1618" s="4" t="s">
        <v>4643</v>
      </c>
      <c r="C1618" s="4" t="s">
        <v>25</v>
      </c>
      <c r="D1618" s="4" t="s">
        <v>26</v>
      </c>
      <c r="E1618" s="5" t="str">
        <f>"9051321"</f>
        <v>9051321</v>
      </c>
      <c r="F1618" s="3" t="s">
        <v>5110</v>
      </c>
      <c r="G1618" s="5">
        <v>2109930923</v>
      </c>
      <c r="H1618" s="4" t="s">
        <v>5111</v>
      </c>
      <c r="I1618" s="4" t="s">
        <v>4654</v>
      </c>
      <c r="J1618" s="4" t="s">
        <v>4655</v>
      </c>
      <c r="K1618" s="4" t="s">
        <v>5112</v>
      </c>
      <c r="L1618" s="5">
        <v>16452</v>
      </c>
    </row>
    <row r="1619" spans="1:12" x14ac:dyDescent="0.25">
      <c r="A1619" s="3" t="s">
        <v>1057</v>
      </c>
      <c r="B1619" s="4" t="s">
        <v>4643</v>
      </c>
      <c r="C1619" s="4" t="s">
        <v>14</v>
      </c>
      <c r="D1619" s="4" t="s">
        <v>15</v>
      </c>
      <c r="E1619" s="5" t="str">
        <f>"9050331"</f>
        <v>9050331</v>
      </c>
      <c r="F1619" s="3" t="s">
        <v>5113</v>
      </c>
      <c r="G1619" s="5">
        <v>2103461637</v>
      </c>
      <c r="H1619" s="4" t="s">
        <v>5114</v>
      </c>
      <c r="I1619" s="4" t="s">
        <v>4679</v>
      </c>
      <c r="J1619" s="4" t="s">
        <v>4845</v>
      </c>
      <c r="K1619" s="4" t="s">
        <v>5115</v>
      </c>
      <c r="L1619" s="5">
        <v>17778</v>
      </c>
    </row>
    <row r="1620" spans="1:12" x14ac:dyDescent="0.25">
      <c r="A1620" s="3" t="s">
        <v>1057</v>
      </c>
      <c r="B1620" s="4" t="s">
        <v>4643</v>
      </c>
      <c r="C1620" s="4" t="s">
        <v>25</v>
      </c>
      <c r="D1620" s="4" t="s">
        <v>26</v>
      </c>
      <c r="E1620" s="5" t="str">
        <f>"9051322"</f>
        <v>9051322</v>
      </c>
      <c r="F1620" s="3" t="s">
        <v>5116</v>
      </c>
      <c r="G1620" s="5">
        <v>2109924970</v>
      </c>
      <c r="H1620" s="4" t="s">
        <v>5117</v>
      </c>
      <c r="I1620" s="4" t="s">
        <v>4654</v>
      </c>
      <c r="J1620" s="4" t="s">
        <v>4694</v>
      </c>
      <c r="K1620" s="4" t="s">
        <v>5118</v>
      </c>
      <c r="L1620" s="5">
        <v>16777</v>
      </c>
    </row>
    <row r="1621" spans="1:12" x14ac:dyDescent="0.25">
      <c r="A1621" s="3" t="s">
        <v>1057</v>
      </c>
      <c r="B1621" s="4" t="s">
        <v>4643</v>
      </c>
      <c r="C1621" s="4" t="s">
        <v>25</v>
      </c>
      <c r="D1621" s="4" t="s">
        <v>26</v>
      </c>
      <c r="E1621" s="5" t="str">
        <f>"9520397"</f>
        <v>9520397</v>
      </c>
      <c r="F1621" s="3" t="s">
        <v>5119</v>
      </c>
      <c r="G1621" s="5">
        <v>2109328894</v>
      </c>
      <c r="H1621" s="4" t="s">
        <v>5120</v>
      </c>
      <c r="I1621" s="4" t="s">
        <v>4758</v>
      </c>
      <c r="J1621" s="4" t="s">
        <v>4759</v>
      </c>
      <c r="K1621" s="4" t="s">
        <v>4901</v>
      </c>
      <c r="L1621" s="5">
        <v>17122</v>
      </c>
    </row>
    <row r="1622" spans="1:12" x14ac:dyDescent="0.25">
      <c r="A1622" s="3" t="s">
        <v>1057</v>
      </c>
      <c r="B1622" s="4" t="s">
        <v>4643</v>
      </c>
      <c r="C1622" s="4" t="s">
        <v>14</v>
      </c>
      <c r="D1622" s="4" t="s">
        <v>15</v>
      </c>
      <c r="E1622" s="5" t="str">
        <f>"9050174"</f>
        <v>9050174</v>
      </c>
      <c r="F1622" s="3" t="s">
        <v>5121</v>
      </c>
      <c r="G1622" s="5">
        <v>2109913100</v>
      </c>
      <c r="H1622" s="4" t="s">
        <v>5122</v>
      </c>
      <c r="I1622" s="4" t="s">
        <v>4828</v>
      </c>
      <c r="J1622" s="4" t="s">
        <v>5123</v>
      </c>
      <c r="K1622" s="4" t="s">
        <v>5124</v>
      </c>
      <c r="L1622" s="5">
        <v>17456</v>
      </c>
    </row>
    <row r="1623" spans="1:12" x14ac:dyDescent="0.25">
      <c r="A1623" s="3" t="s">
        <v>1057</v>
      </c>
      <c r="B1623" s="4" t="s">
        <v>4643</v>
      </c>
      <c r="C1623" s="4" t="s">
        <v>14</v>
      </c>
      <c r="D1623" s="4" t="s">
        <v>15</v>
      </c>
      <c r="E1623" s="5" t="str">
        <f>"9050197"</f>
        <v>9050197</v>
      </c>
      <c r="F1623" s="3" t="s">
        <v>5125</v>
      </c>
      <c r="G1623" s="5">
        <v>2108983093</v>
      </c>
      <c r="H1623" s="4" t="s">
        <v>5126</v>
      </c>
      <c r="I1623" s="4" t="s">
        <v>4646</v>
      </c>
      <c r="J1623" s="4" t="s">
        <v>4647</v>
      </c>
      <c r="K1623" s="4" t="s">
        <v>5127</v>
      </c>
      <c r="L1623" s="5">
        <v>16674</v>
      </c>
    </row>
    <row r="1624" spans="1:12" x14ac:dyDescent="0.25">
      <c r="A1624" s="3" t="s">
        <v>1057</v>
      </c>
      <c r="B1624" s="4" t="s">
        <v>4643</v>
      </c>
      <c r="C1624" s="4" t="s">
        <v>25</v>
      </c>
      <c r="D1624" s="4" t="s">
        <v>26</v>
      </c>
      <c r="E1624" s="5" t="str">
        <f>"9520393"</f>
        <v>9520393</v>
      </c>
      <c r="F1624" s="3" t="s">
        <v>5128</v>
      </c>
      <c r="G1624" s="5">
        <v>2109832212</v>
      </c>
      <c r="H1624" s="4" t="s">
        <v>5129</v>
      </c>
      <c r="I1624" s="4" t="s">
        <v>4772</v>
      </c>
      <c r="J1624" s="4" t="s">
        <v>4787</v>
      </c>
      <c r="K1624" s="4" t="s">
        <v>5130</v>
      </c>
      <c r="L1624" s="5">
        <v>17563</v>
      </c>
    </row>
    <row r="1625" spans="1:12" x14ac:dyDescent="0.25">
      <c r="A1625" s="3" t="s">
        <v>1057</v>
      </c>
      <c r="B1625" s="4" t="s">
        <v>4643</v>
      </c>
      <c r="C1625" s="4" t="s">
        <v>25</v>
      </c>
      <c r="D1625" s="4" t="s">
        <v>26</v>
      </c>
      <c r="E1625" s="5" t="str">
        <f>"9520411"</f>
        <v>9520411</v>
      </c>
      <c r="F1625" s="3" t="s">
        <v>5131</v>
      </c>
      <c r="G1625" s="5">
        <v>2109848889</v>
      </c>
      <c r="H1625" s="4" t="s">
        <v>5132</v>
      </c>
      <c r="I1625" s="4" t="s">
        <v>4772</v>
      </c>
      <c r="J1625" s="4" t="s">
        <v>4787</v>
      </c>
      <c r="K1625" s="4" t="s">
        <v>5133</v>
      </c>
      <c r="L1625" s="5">
        <v>17561</v>
      </c>
    </row>
    <row r="1626" spans="1:12" x14ac:dyDescent="0.25">
      <c r="A1626" s="3" t="s">
        <v>1057</v>
      </c>
      <c r="B1626" s="4" t="s">
        <v>4643</v>
      </c>
      <c r="C1626" s="4" t="s">
        <v>25</v>
      </c>
      <c r="D1626" s="4" t="s">
        <v>26</v>
      </c>
      <c r="E1626" s="5" t="str">
        <f>"9051080"</f>
        <v>9051080</v>
      </c>
      <c r="F1626" s="3" t="s">
        <v>5134</v>
      </c>
      <c r="G1626" s="5">
        <v>2108982649</v>
      </c>
      <c r="H1626" s="4" t="s">
        <v>5135</v>
      </c>
      <c r="I1626" s="4" t="s">
        <v>4646</v>
      </c>
      <c r="J1626" s="4" t="s">
        <v>4647</v>
      </c>
      <c r="K1626" s="4" t="s">
        <v>5136</v>
      </c>
      <c r="L1626" s="5">
        <v>16674</v>
      </c>
    </row>
    <row r="1627" spans="1:12" x14ac:dyDescent="0.25">
      <c r="A1627" s="3" t="s">
        <v>1057</v>
      </c>
      <c r="B1627" s="4" t="s">
        <v>4643</v>
      </c>
      <c r="C1627" s="4" t="s">
        <v>25</v>
      </c>
      <c r="D1627" s="4" t="s">
        <v>26</v>
      </c>
      <c r="E1627" s="5" t="str">
        <f>"9520433"</f>
        <v>9520433</v>
      </c>
      <c r="F1627" s="3" t="s">
        <v>5137</v>
      </c>
      <c r="G1627" s="5">
        <v>2109621514</v>
      </c>
      <c r="H1627" s="4" t="s">
        <v>5138</v>
      </c>
      <c r="I1627" s="4" t="s">
        <v>4646</v>
      </c>
      <c r="J1627" s="4" t="s">
        <v>4647</v>
      </c>
      <c r="K1627" s="4" t="s">
        <v>5139</v>
      </c>
      <c r="L1627" s="5">
        <v>16777</v>
      </c>
    </row>
    <row r="1628" spans="1:12" x14ac:dyDescent="0.25">
      <c r="A1628" s="3" t="s">
        <v>1057</v>
      </c>
      <c r="B1628" s="4" t="s">
        <v>4643</v>
      </c>
      <c r="C1628" s="4" t="s">
        <v>25</v>
      </c>
      <c r="D1628" s="4" t="s">
        <v>26</v>
      </c>
      <c r="E1628" s="5" t="str">
        <f>"9051245"</f>
        <v>9051245</v>
      </c>
      <c r="F1628" s="3" t="s">
        <v>5140</v>
      </c>
      <c r="G1628" s="5">
        <v>2109836967</v>
      </c>
      <c r="H1628" s="4" t="s">
        <v>5141</v>
      </c>
      <c r="I1628" s="4" t="s">
        <v>4753</v>
      </c>
      <c r="J1628" s="4" t="s">
        <v>4754</v>
      </c>
      <c r="K1628" s="4" t="s">
        <v>5142</v>
      </c>
      <c r="L1628" s="5">
        <v>17342</v>
      </c>
    </row>
    <row r="1629" spans="1:12" x14ac:dyDescent="0.25">
      <c r="A1629" s="3" t="s">
        <v>1057</v>
      </c>
      <c r="B1629" s="4" t="s">
        <v>4643</v>
      </c>
      <c r="C1629" s="4" t="s">
        <v>25</v>
      </c>
      <c r="D1629" s="4" t="s">
        <v>26</v>
      </c>
      <c r="E1629" s="5" t="str">
        <f>"9051075"</f>
        <v>9051075</v>
      </c>
      <c r="F1629" s="3" t="s">
        <v>5143</v>
      </c>
      <c r="G1629" s="5">
        <v>2109919565</v>
      </c>
      <c r="H1629" s="4" t="s">
        <v>5144</v>
      </c>
      <c r="I1629" s="4" t="s">
        <v>4654</v>
      </c>
      <c r="J1629" s="4" t="s">
        <v>4655</v>
      </c>
      <c r="K1629" s="4" t="s">
        <v>5145</v>
      </c>
      <c r="L1629" s="5">
        <v>16452</v>
      </c>
    </row>
    <row r="1630" spans="1:12" x14ac:dyDescent="0.25">
      <c r="A1630" s="3" t="s">
        <v>1057</v>
      </c>
      <c r="B1630" s="4" t="s">
        <v>4643</v>
      </c>
      <c r="C1630" s="4" t="s">
        <v>25</v>
      </c>
      <c r="D1630" s="4" t="s">
        <v>26</v>
      </c>
      <c r="E1630" s="5" t="str">
        <f>"9050999"</f>
        <v>9050999</v>
      </c>
      <c r="F1630" s="3" t="s">
        <v>5146</v>
      </c>
      <c r="G1630" s="5">
        <v>2109852569</v>
      </c>
      <c r="H1630" s="4" t="s">
        <v>5147</v>
      </c>
      <c r="I1630" s="4" t="s">
        <v>4753</v>
      </c>
      <c r="J1630" s="4" t="s">
        <v>4754</v>
      </c>
      <c r="K1630" s="4" t="s">
        <v>5148</v>
      </c>
      <c r="L1630" s="5">
        <v>17342</v>
      </c>
    </row>
    <row r="1631" spans="1:12" x14ac:dyDescent="0.25">
      <c r="A1631" s="3" t="s">
        <v>1057</v>
      </c>
      <c r="B1631" s="4" t="s">
        <v>4643</v>
      </c>
      <c r="C1631" s="4" t="s">
        <v>25</v>
      </c>
      <c r="D1631" s="4" t="s">
        <v>26</v>
      </c>
      <c r="E1631" s="5" t="str">
        <f>"9520506"</f>
        <v>9520506</v>
      </c>
      <c r="F1631" s="3" t="s">
        <v>5149</v>
      </c>
      <c r="G1631" s="5">
        <v>2109820090</v>
      </c>
      <c r="H1631" s="4" t="s">
        <v>5150</v>
      </c>
      <c r="I1631" s="4" t="s">
        <v>4753</v>
      </c>
      <c r="J1631" s="4" t="s">
        <v>4754</v>
      </c>
      <c r="K1631" s="4" t="s">
        <v>5151</v>
      </c>
      <c r="L1631" s="5">
        <v>17342</v>
      </c>
    </row>
    <row r="1632" spans="1:12" x14ac:dyDescent="0.25">
      <c r="A1632" s="3" t="s">
        <v>1057</v>
      </c>
      <c r="B1632" s="4" t="s">
        <v>4643</v>
      </c>
      <c r="C1632" s="4" t="s">
        <v>14</v>
      </c>
      <c r="D1632" s="4" t="s">
        <v>15</v>
      </c>
      <c r="E1632" s="5" t="str">
        <f>"9050173"</f>
        <v>9050173</v>
      </c>
      <c r="F1632" s="3" t="s">
        <v>5152</v>
      </c>
      <c r="G1632" s="5">
        <v>2109842063</v>
      </c>
      <c r="H1632" s="4" t="s">
        <v>5153</v>
      </c>
      <c r="I1632" s="4" t="s">
        <v>4828</v>
      </c>
      <c r="J1632" s="4" t="s">
        <v>4829</v>
      </c>
      <c r="K1632" s="4" t="s">
        <v>5154</v>
      </c>
      <c r="L1632" s="5">
        <v>17455</v>
      </c>
    </row>
    <row r="1633" spans="1:12" x14ac:dyDescent="0.25">
      <c r="A1633" s="3" t="s">
        <v>1057</v>
      </c>
      <c r="B1633" s="4" t="s">
        <v>4643</v>
      </c>
      <c r="C1633" s="4" t="s">
        <v>25</v>
      </c>
      <c r="D1633" s="4" t="s">
        <v>26</v>
      </c>
      <c r="E1633" s="5" t="str">
        <f>"9050749"</f>
        <v>9050749</v>
      </c>
      <c r="F1633" s="3" t="s">
        <v>5155</v>
      </c>
      <c r="G1633" s="5">
        <v>2109321202</v>
      </c>
      <c r="H1633" s="4" t="s">
        <v>5156</v>
      </c>
      <c r="I1633" s="4" t="s">
        <v>4758</v>
      </c>
      <c r="J1633" s="4" t="s">
        <v>4754</v>
      </c>
      <c r="K1633" s="4" t="s">
        <v>5157</v>
      </c>
      <c r="L1633" s="5">
        <v>17341</v>
      </c>
    </row>
    <row r="1634" spans="1:12" x14ac:dyDescent="0.25">
      <c r="A1634" s="3" t="s">
        <v>1057</v>
      </c>
      <c r="B1634" s="4" t="s">
        <v>4643</v>
      </c>
      <c r="C1634" s="4" t="s">
        <v>14</v>
      </c>
      <c r="D1634" s="4" t="s">
        <v>15</v>
      </c>
      <c r="E1634" s="5" t="str">
        <f>"9520390"</f>
        <v>9520390</v>
      </c>
      <c r="F1634" s="3" t="s">
        <v>5158</v>
      </c>
      <c r="G1634" s="5">
        <v>2109341550</v>
      </c>
      <c r="H1634" s="4" t="s">
        <v>5159</v>
      </c>
      <c r="I1634" s="4" t="s">
        <v>4758</v>
      </c>
      <c r="J1634" s="4" t="s">
        <v>4765</v>
      </c>
      <c r="K1634" s="4" t="s">
        <v>5160</v>
      </c>
      <c r="L1634" s="5">
        <v>17124</v>
      </c>
    </row>
    <row r="1635" spans="1:12" x14ac:dyDescent="0.25">
      <c r="A1635" s="3" t="s">
        <v>1057</v>
      </c>
      <c r="B1635" s="4" t="s">
        <v>4643</v>
      </c>
      <c r="C1635" s="4" t="s">
        <v>25</v>
      </c>
      <c r="D1635" s="4" t="s">
        <v>26</v>
      </c>
      <c r="E1635" s="5" t="str">
        <f>"9050888"</f>
        <v>9050888</v>
      </c>
      <c r="F1635" s="3" t="s">
        <v>5161</v>
      </c>
      <c r="G1635" s="5">
        <v>2109347465</v>
      </c>
      <c r="H1635" s="4" t="s">
        <v>5162</v>
      </c>
      <c r="I1635" s="4" t="s">
        <v>4753</v>
      </c>
      <c r="J1635" s="4" t="s">
        <v>4754</v>
      </c>
      <c r="K1635" s="4" t="s">
        <v>4880</v>
      </c>
      <c r="L1635" s="5">
        <v>17341</v>
      </c>
    </row>
    <row r="1636" spans="1:12" x14ac:dyDescent="0.25">
      <c r="A1636" s="3" t="s">
        <v>1057</v>
      </c>
      <c r="B1636" s="4" t="s">
        <v>4643</v>
      </c>
      <c r="C1636" s="4" t="s">
        <v>14</v>
      </c>
      <c r="D1636" s="4" t="s">
        <v>15</v>
      </c>
      <c r="E1636" s="5" t="str">
        <f>"9050198"</f>
        <v>9050198</v>
      </c>
      <c r="F1636" s="3" t="s">
        <v>5163</v>
      </c>
      <c r="G1636" s="5">
        <v>2109626995</v>
      </c>
      <c r="H1636" s="4" t="s">
        <v>5164</v>
      </c>
      <c r="I1636" s="4" t="s">
        <v>4646</v>
      </c>
      <c r="J1636" s="4" t="s">
        <v>4647</v>
      </c>
      <c r="K1636" s="4" t="s">
        <v>5165</v>
      </c>
      <c r="L1636" s="5">
        <v>16675</v>
      </c>
    </row>
    <row r="1637" spans="1:12" x14ac:dyDescent="0.25">
      <c r="A1637" s="3" t="s">
        <v>1057</v>
      </c>
      <c r="B1637" s="4" t="s">
        <v>4643</v>
      </c>
      <c r="C1637" s="4" t="s">
        <v>25</v>
      </c>
      <c r="D1637" s="4" t="s">
        <v>26</v>
      </c>
      <c r="E1637" s="5" t="str">
        <f>"9050732"</f>
        <v>9050732</v>
      </c>
      <c r="F1637" s="3" t="s">
        <v>5166</v>
      </c>
      <c r="G1637" s="5">
        <v>2109754710</v>
      </c>
      <c r="H1637" s="4" t="s">
        <v>5167</v>
      </c>
      <c r="I1637" s="4" t="s">
        <v>4753</v>
      </c>
      <c r="J1637" s="4" t="s">
        <v>4754</v>
      </c>
      <c r="K1637" s="4" t="s">
        <v>5168</v>
      </c>
      <c r="L1637" s="5">
        <v>17341</v>
      </c>
    </row>
    <row r="1638" spans="1:12" x14ac:dyDescent="0.25">
      <c r="A1638" s="3" t="s">
        <v>1057</v>
      </c>
      <c r="B1638" s="4" t="s">
        <v>4643</v>
      </c>
      <c r="C1638" s="4" t="s">
        <v>25</v>
      </c>
      <c r="D1638" s="4" t="s">
        <v>26</v>
      </c>
      <c r="E1638" s="5" t="str">
        <f>"9050887"</f>
        <v>9050887</v>
      </c>
      <c r="F1638" s="3" t="s">
        <v>5169</v>
      </c>
      <c r="G1638" s="5">
        <v>2109732852</v>
      </c>
      <c r="H1638" s="4" t="s">
        <v>5170</v>
      </c>
      <c r="I1638" s="4" t="s">
        <v>4753</v>
      </c>
      <c r="J1638" s="4" t="s">
        <v>4754</v>
      </c>
      <c r="K1638" s="4" t="s">
        <v>5171</v>
      </c>
      <c r="L1638" s="5">
        <v>17343</v>
      </c>
    </row>
    <row r="1639" spans="1:12" x14ac:dyDescent="0.25">
      <c r="A1639" s="3" t="s">
        <v>1057</v>
      </c>
      <c r="B1639" s="4" t="s">
        <v>4643</v>
      </c>
      <c r="C1639" s="4" t="s">
        <v>25</v>
      </c>
      <c r="D1639" s="4" t="s">
        <v>26</v>
      </c>
      <c r="E1639" s="5" t="str">
        <f>"9051082"</f>
        <v>9051082</v>
      </c>
      <c r="F1639" s="3" t="s">
        <v>5172</v>
      </c>
      <c r="G1639" s="5">
        <v>2109614823</v>
      </c>
      <c r="H1639" s="4" t="s">
        <v>5173</v>
      </c>
      <c r="I1639" s="4" t="s">
        <v>4646</v>
      </c>
      <c r="J1639" s="4" t="s">
        <v>4647</v>
      </c>
      <c r="K1639" s="4" t="s">
        <v>5174</v>
      </c>
      <c r="L1639" s="5">
        <v>16561</v>
      </c>
    </row>
    <row r="1640" spans="1:12" x14ac:dyDescent="0.25">
      <c r="A1640" s="3" t="s">
        <v>1057</v>
      </c>
      <c r="B1640" s="4" t="s">
        <v>4643</v>
      </c>
      <c r="C1640" s="4" t="s">
        <v>14</v>
      </c>
      <c r="D1640" s="4" t="s">
        <v>15</v>
      </c>
      <c r="E1640" s="5" t="str">
        <f>"9050206"</f>
        <v>9050206</v>
      </c>
      <c r="F1640" s="3" t="s">
        <v>5175</v>
      </c>
      <c r="G1640" s="5">
        <v>2109610893</v>
      </c>
      <c r="H1640" s="4" t="s">
        <v>5176</v>
      </c>
      <c r="I1640" s="4" t="s">
        <v>4646</v>
      </c>
      <c r="J1640" s="4" t="s">
        <v>4647</v>
      </c>
      <c r="K1640" s="4" t="s">
        <v>5177</v>
      </c>
      <c r="L1640" s="5">
        <v>16561</v>
      </c>
    </row>
    <row r="1641" spans="1:12" x14ac:dyDescent="0.25">
      <c r="A1641" s="3" t="s">
        <v>1057</v>
      </c>
      <c r="B1641" s="4" t="s">
        <v>4643</v>
      </c>
      <c r="C1641" s="4" t="s">
        <v>14</v>
      </c>
      <c r="D1641" s="4" t="s">
        <v>15</v>
      </c>
      <c r="E1641" s="5" t="str">
        <f>"9050227"</f>
        <v>9050227</v>
      </c>
      <c r="F1641" s="3" t="s">
        <v>5178</v>
      </c>
      <c r="G1641" s="5">
        <v>2109416993</v>
      </c>
      <c r="H1641" s="4" t="s">
        <v>5179</v>
      </c>
      <c r="I1641" s="4" t="s">
        <v>4679</v>
      </c>
      <c r="J1641" s="4" t="s">
        <v>4698</v>
      </c>
      <c r="K1641" s="4" t="s">
        <v>5180</v>
      </c>
      <c r="L1641" s="5">
        <v>18345</v>
      </c>
    </row>
    <row r="1642" spans="1:12" x14ac:dyDescent="0.25">
      <c r="A1642" s="3" t="s">
        <v>1057</v>
      </c>
      <c r="B1642" s="4" t="s">
        <v>4643</v>
      </c>
      <c r="C1642" s="4" t="s">
        <v>25</v>
      </c>
      <c r="D1642" s="4" t="s">
        <v>26</v>
      </c>
      <c r="E1642" s="5" t="str">
        <f>"9050740"</f>
        <v>9050740</v>
      </c>
      <c r="F1642" s="3" t="s">
        <v>5181</v>
      </c>
      <c r="G1642" s="5">
        <v>2109513942</v>
      </c>
      <c r="H1642" s="4" t="s">
        <v>5182</v>
      </c>
      <c r="I1642" s="4" t="s">
        <v>4659</v>
      </c>
      <c r="J1642" s="4" t="s">
        <v>4660</v>
      </c>
      <c r="K1642" s="4" t="s">
        <v>5183</v>
      </c>
      <c r="L1642" s="5">
        <v>17673</v>
      </c>
    </row>
    <row r="1643" spans="1:12" x14ac:dyDescent="0.25">
      <c r="A1643" s="3" t="s">
        <v>1057</v>
      </c>
      <c r="B1643" s="4" t="s">
        <v>4643</v>
      </c>
      <c r="C1643" s="4" t="s">
        <v>14</v>
      </c>
      <c r="D1643" s="4" t="s">
        <v>15</v>
      </c>
      <c r="E1643" s="5" t="str">
        <f>"9520385"</f>
        <v>9520385</v>
      </c>
      <c r="F1643" s="3" t="s">
        <v>5184</v>
      </c>
      <c r="G1643" s="5">
        <v>2109420888</v>
      </c>
      <c r="H1643" s="4" t="s">
        <v>5185</v>
      </c>
      <c r="I1643" s="4" t="s">
        <v>4758</v>
      </c>
      <c r="J1643" s="4" t="s">
        <v>4759</v>
      </c>
      <c r="K1643" s="4" t="s">
        <v>5186</v>
      </c>
      <c r="L1643" s="5">
        <v>17122</v>
      </c>
    </row>
    <row r="1644" spans="1:12" x14ac:dyDescent="0.25">
      <c r="A1644" s="3" t="s">
        <v>1057</v>
      </c>
      <c r="B1644" s="4" t="s">
        <v>4643</v>
      </c>
      <c r="C1644" s="4" t="s">
        <v>14</v>
      </c>
      <c r="D1644" s="4" t="s">
        <v>15</v>
      </c>
      <c r="E1644" s="5" t="str">
        <f>"9051166"</f>
        <v>9051166</v>
      </c>
      <c r="F1644" s="3" t="s">
        <v>5187</v>
      </c>
      <c r="G1644" s="5">
        <v>2104813810</v>
      </c>
      <c r="H1644" s="4" t="s">
        <v>5188</v>
      </c>
      <c r="I1644" s="4" t="s">
        <v>4679</v>
      </c>
      <c r="J1644" s="4" t="s">
        <v>4698</v>
      </c>
      <c r="K1644" s="4" t="s">
        <v>5189</v>
      </c>
      <c r="L1644" s="5">
        <v>18344</v>
      </c>
    </row>
    <row r="1645" spans="1:12" x14ac:dyDescent="0.25">
      <c r="A1645" s="3" t="s">
        <v>1057</v>
      </c>
      <c r="B1645" s="4" t="s">
        <v>4643</v>
      </c>
      <c r="C1645" s="4" t="s">
        <v>25</v>
      </c>
      <c r="D1645" s="4" t="s">
        <v>26</v>
      </c>
      <c r="E1645" s="5" t="str">
        <f>"9051283"</f>
        <v>9051283</v>
      </c>
      <c r="F1645" s="3" t="s">
        <v>5190</v>
      </c>
      <c r="G1645" s="5">
        <v>2109350505</v>
      </c>
      <c r="H1645" s="4" t="s">
        <v>5191</v>
      </c>
      <c r="I1645" s="4" t="s">
        <v>4758</v>
      </c>
      <c r="J1645" s="4" t="s">
        <v>4759</v>
      </c>
      <c r="K1645" s="4" t="s">
        <v>5192</v>
      </c>
      <c r="L1645" s="5">
        <v>17123</v>
      </c>
    </row>
    <row r="1646" spans="1:12" x14ac:dyDescent="0.25">
      <c r="A1646" s="3" t="s">
        <v>1057</v>
      </c>
      <c r="B1646" s="4" t="s">
        <v>4643</v>
      </c>
      <c r="C1646" s="4" t="s">
        <v>14</v>
      </c>
      <c r="D1646" s="4" t="s">
        <v>15</v>
      </c>
      <c r="E1646" s="5" t="str">
        <f>"9050142"</f>
        <v>9050142</v>
      </c>
      <c r="F1646" s="3" t="s">
        <v>5193</v>
      </c>
      <c r="G1646" s="5">
        <v>2109322490</v>
      </c>
      <c r="H1646" s="4" t="s">
        <v>5194</v>
      </c>
      <c r="I1646" s="4" t="s">
        <v>4753</v>
      </c>
      <c r="J1646" s="4" t="s">
        <v>4945</v>
      </c>
      <c r="K1646" s="4" t="s">
        <v>5195</v>
      </c>
      <c r="L1646" s="5">
        <v>17341</v>
      </c>
    </row>
    <row r="1647" spans="1:12" x14ac:dyDescent="0.25">
      <c r="A1647" s="3" t="s">
        <v>1057</v>
      </c>
      <c r="B1647" s="4" t="s">
        <v>4643</v>
      </c>
      <c r="C1647" s="4" t="s">
        <v>14</v>
      </c>
      <c r="D1647" s="4" t="s">
        <v>15</v>
      </c>
      <c r="E1647" s="5" t="str">
        <f>"9520484"</f>
        <v>9520484</v>
      </c>
      <c r="F1647" s="3" t="s">
        <v>5196</v>
      </c>
      <c r="G1647" s="5">
        <v>2109849088</v>
      </c>
      <c r="H1647" s="4" t="s">
        <v>5197</v>
      </c>
      <c r="I1647" s="4" t="s">
        <v>4753</v>
      </c>
      <c r="J1647" s="4" t="s">
        <v>4754</v>
      </c>
      <c r="K1647" s="4" t="s">
        <v>5198</v>
      </c>
      <c r="L1647" s="5">
        <v>17342</v>
      </c>
    </row>
    <row r="1648" spans="1:12" x14ac:dyDescent="0.25">
      <c r="A1648" s="3" t="s">
        <v>1057</v>
      </c>
      <c r="B1648" s="4" t="s">
        <v>4643</v>
      </c>
      <c r="C1648" s="4" t="s">
        <v>25</v>
      </c>
      <c r="D1648" s="4" t="s">
        <v>26</v>
      </c>
      <c r="E1648" s="5" t="str">
        <f>"9050851"</f>
        <v>9050851</v>
      </c>
      <c r="F1648" s="3" t="s">
        <v>5199</v>
      </c>
      <c r="G1648" s="5">
        <v>2104831649</v>
      </c>
      <c r="H1648" s="4" t="s">
        <v>5200</v>
      </c>
      <c r="I1648" s="4" t="s">
        <v>4679</v>
      </c>
      <c r="J1648" s="4" t="s">
        <v>5029</v>
      </c>
      <c r="K1648" s="4" t="s">
        <v>5085</v>
      </c>
      <c r="L1648" s="5">
        <v>17778</v>
      </c>
    </row>
    <row r="1649" spans="1:12" x14ac:dyDescent="0.25">
      <c r="A1649" s="3" t="s">
        <v>1057</v>
      </c>
      <c r="B1649" s="4" t="s">
        <v>4643</v>
      </c>
      <c r="C1649" s="4" t="s">
        <v>25</v>
      </c>
      <c r="D1649" s="4" t="s">
        <v>26</v>
      </c>
      <c r="E1649" s="5" t="str">
        <f>"9050757"</f>
        <v>9050757</v>
      </c>
      <c r="F1649" s="3" t="s">
        <v>5201</v>
      </c>
      <c r="G1649" s="5">
        <v>2103455303</v>
      </c>
      <c r="H1649" s="4" t="s">
        <v>5202</v>
      </c>
      <c r="I1649" s="4" t="s">
        <v>4679</v>
      </c>
      <c r="J1649" s="4" t="s">
        <v>5029</v>
      </c>
      <c r="K1649" s="4" t="s">
        <v>5203</v>
      </c>
      <c r="L1649" s="5">
        <v>17778</v>
      </c>
    </row>
    <row r="1650" spans="1:12" x14ac:dyDescent="0.25">
      <c r="A1650" s="3" t="s">
        <v>1057</v>
      </c>
      <c r="B1650" s="4" t="s">
        <v>4643</v>
      </c>
      <c r="C1650" s="4" t="s">
        <v>25</v>
      </c>
      <c r="D1650" s="4" t="s">
        <v>26</v>
      </c>
      <c r="E1650" s="5" t="str">
        <f>"9050837"</f>
        <v>9050837</v>
      </c>
      <c r="F1650" s="3" t="s">
        <v>5204</v>
      </c>
      <c r="G1650" s="5">
        <v>2103470630</v>
      </c>
      <c r="H1650" s="4" t="s">
        <v>5205</v>
      </c>
      <c r="I1650" s="4" t="s">
        <v>4679</v>
      </c>
      <c r="J1650" s="4" t="s">
        <v>5029</v>
      </c>
      <c r="K1650" s="4" t="s">
        <v>5206</v>
      </c>
      <c r="L1650" s="5">
        <v>17778</v>
      </c>
    </row>
    <row r="1651" spans="1:12" x14ac:dyDescent="0.25">
      <c r="A1651" s="3" t="s">
        <v>1057</v>
      </c>
      <c r="B1651" s="4" t="s">
        <v>4643</v>
      </c>
      <c r="C1651" s="4" t="s">
        <v>14</v>
      </c>
      <c r="D1651" s="4" t="s">
        <v>15</v>
      </c>
      <c r="E1651" s="5" t="str">
        <f>"9050221"</f>
        <v>9050221</v>
      </c>
      <c r="F1651" s="3" t="s">
        <v>5207</v>
      </c>
      <c r="G1651" s="5">
        <v>2109422847</v>
      </c>
      <c r="H1651" s="4" t="s">
        <v>5208</v>
      </c>
      <c r="I1651" s="4" t="s">
        <v>4659</v>
      </c>
      <c r="J1651" s="4" t="s">
        <v>4660</v>
      </c>
      <c r="K1651" s="4" t="s">
        <v>4691</v>
      </c>
      <c r="L1651" s="5">
        <v>17674</v>
      </c>
    </row>
    <row r="1652" spans="1:12" x14ac:dyDescent="0.25">
      <c r="A1652" s="3" t="s">
        <v>1057</v>
      </c>
      <c r="B1652" s="4" t="s">
        <v>4643</v>
      </c>
      <c r="C1652" s="4" t="s">
        <v>14</v>
      </c>
      <c r="D1652" s="4" t="s">
        <v>15</v>
      </c>
      <c r="E1652" s="5" t="str">
        <f>"9051167"</f>
        <v>9051167</v>
      </c>
      <c r="F1652" s="3" t="s">
        <v>5209</v>
      </c>
      <c r="G1652" s="5">
        <v>2109904315</v>
      </c>
      <c r="H1652" s="4" t="s">
        <v>5210</v>
      </c>
      <c r="I1652" s="4" t="s">
        <v>4828</v>
      </c>
      <c r="J1652" s="4" t="s">
        <v>5123</v>
      </c>
      <c r="K1652" s="4" t="s">
        <v>5124</v>
      </c>
      <c r="L1652" s="5">
        <v>17456</v>
      </c>
    </row>
    <row r="1653" spans="1:12" x14ac:dyDescent="0.25">
      <c r="A1653" s="3" t="s">
        <v>1057</v>
      </c>
      <c r="B1653" s="4" t="s">
        <v>4643</v>
      </c>
      <c r="C1653" s="4" t="s">
        <v>25</v>
      </c>
      <c r="D1653" s="4" t="s">
        <v>26</v>
      </c>
      <c r="E1653" s="5" t="str">
        <f>"9050748"</f>
        <v>9050748</v>
      </c>
      <c r="F1653" s="3" t="s">
        <v>5211</v>
      </c>
      <c r="G1653" s="5">
        <v>2109423273</v>
      </c>
      <c r="H1653" s="4" t="s">
        <v>5212</v>
      </c>
      <c r="I1653" s="4" t="s">
        <v>4758</v>
      </c>
      <c r="J1653" s="4" t="s">
        <v>4759</v>
      </c>
      <c r="K1653" s="4" t="s">
        <v>5213</v>
      </c>
      <c r="L1653" s="5">
        <v>17122</v>
      </c>
    </row>
    <row r="1654" spans="1:12" x14ac:dyDescent="0.25">
      <c r="A1654" s="3" t="s">
        <v>1057</v>
      </c>
      <c r="B1654" s="4" t="s">
        <v>4643</v>
      </c>
      <c r="C1654" s="4" t="s">
        <v>25</v>
      </c>
      <c r="D1654" s="4" t="s">
        <v>26</v>
      </c>
      <c r="E1654" s="5" t="str">
        <f>"9051083"</f>
        <v>9051083</v>
      </c>
      <c r="F1654" s="3" t="s">
        <v>5214</v>
      </c>
      <c r="G1654" s="5">
        <v>2109610314</v>
      </c>
      <c r="H1654" s="4" t="s">
        <v>5215</v>
      </c>
      <c r="I1654" s="4" t="s">
        <v>4646</v>
      </c>
      <c r="J1654" s="4" t="s">
        <v>4647</v>
      </c>
      <c r="K1654" s="4" t="s">
        <v>5216</v>
      </c>
      <c r="L1654" s="5">
        <v>16562</v>
      </c>
    </row>
    <row r="1655" spans="1:12" x14ac:dyDescent="0.25">
      <c r="A1655" s="3" t="s">
        <v>1057</v>
      </c>
      <c r="B1655" s="4" t="s">
        <v>4643</v>
      </c>
      <c r="C1655" s="4" t="s">
        <v>25</v>
      </c>
      <c r="D1655" s="4" t="s">
        <v>26</v>
      </c>
      <c r="E1655" s="5" t="str">
        <f>"9051244"</f>
        <v>9051244</v>
      </c>
      <c r="F1655" s="3" t="s">
        <v>5217</v>
      </c>
      <c r="G1655" s="5">
        <v>2109942777</v>
      </c>
      <c r="H1655" s="4" t="s">
        <v>5218</v>
      </c>
      <c r="I1655" s="4" t="s">
        <v>4753</v>
      </c>
      <c r="J1655" s="4" t="s">
        <v>4754</v>
      </c>
      <c r="K1655" s="4" t="s">
        <v>5219</v>
      </c>
      <c r="L1655" s="5">
        <v>17342</v>
      </c>
    </row>
    <row r="1656" spans="1:12" x14ac:dyDescent="0.25">
      <c r="A1656" s="3" t="s">
        <v>1057</v>
      </c>
      <c r="B1656" s="4" t="s">
        <v>4643</v>
      </c>
      <c r="C1656" s="4" t="s">
        <v>14</v>
      </c>
      <c r="D1656" s="4" t="s">
        <v>15</v>
      </c>
      <c r="E1656" s="5" t="str">
        <f>"9050148"</f>
        <v>9050148</v>
      </c>
      <c r="F1656" s="3" t="s">
        <v>5220</v>
      </c>
      <c r="G1656" s="5">
        <v>2109931825</v>
      </c>
      <c r="H1656" s="4" t="s">
        <v>5221</v>
      </c>
      <c r="I1656" s="4" t="s">
        <v>4753</v>
      </c>
      <c r="J1656" s="4" t="s">
        <v>4754</v>
      </c>
      <c r="K1656" s="4" t="s">
        <v>5222</v>
      </c>
      <c r="L1656" s="5">
        <v>17342</v>
      </c>
    </row>
    <row r="1657" spans="1:12" x14ac:dyDescent="0.25">
      <c r="A1657" s="3" t="s">
        <v>1057</v>
      </c>
      <c r="B1657" s="4" t="s">
        <v>4643</v>
      </c>
      <c r="C1657" s="4" t="s">
        <v>14</v>
      </c>
      <c r="D1657" s="4" t="s">
        <v>15</v>
      </c>
      <c r="E1657" s="5" t="str">
        <f>"9050208"</f>
        <v>9050208</v>
      </c>
      <c r="F1657" s="3" t="s">
        <v>5223</v>
      </c>
      <c r="G1657" s="5">
        <v>2109611418</v>
      </c>
      <c r="H1657" s="4" t="s">
        <v>5224</v>
      </c>
      <c r="I1657" s="4" t="s">
        <v>4646</v>
      </c>
      <c r="J1657" s="4" t="s">
        <v>4647</v>
      </c>
      <c r="K1657" s="4" t="s">
        <v>5225</v>
      </c>
      <c r="L1657" s="5">
        <v>16562</v>
      </c>
    </row>
    <row r="1658" spans="1:12" x14ac:dyDescent="0.25">
      <c r="A1658" s="3" t="s">
        <v>1057</v>
      </c>
      <c r="B1658" s="4" t="s">
        <v>4643</v>
      </c>
      <c r="C1658" s="4" t="s">
        <v>14</v>
      </c>
      <c r="D1658" s="4" t="s">
        <v>15</v>
      </c>
      <c r="E1658" s="5" t="str">
        <f>"9051173"</f>
        <v>9051173</v>
      </c>
      <c r="F1658" s="3" t="s">
        <v>5226</v>
      </c>
      <c r="G1658" s="5">
        <v>2109611311</v>
      </c>
      <c r="H1658" s="4" t="s">
        <v>5227</v>
      </c>
      <c r="I1658" s="4" t="s">
        <v>4646</v>
      </c>
      <c r="J1658" s="4" t="s">
        <v>4647</v>
      </c>
      <c r="K1658" s="4" t="s">
        <v>5228</v>
      </c>
      <c r="L1658" s="5">
        <v>16562</v>
      </c>
    </row>
    <row r="1659" spans="1:12" x14ac:dyDescent="0.25">
      <c r="A1659" s="3" t="s">
        <v>1057</v>
      </c>
      <c r="B1659" s="4" t="s">
        <v>4643</v>
      </c>
      <c r="C1659" s="4" t="s">
        <v>14</v>
      </c>
      <c r="D1659" s="4" t="s">
        <v>15</v>
      </c>
      <c r="E1659" s="5" t="str">
        <f>"9051174"</f>
        <v>9051174</v>
      </c>
      <c r="F1659" s="3" t="s">
        <v>5229</v>
      </c>
      <c r="G1659" s="5">
        <v>2109611107</v>
      </c>
      <c r="H1659" s="4" t="s">
        <v>5230</v>
      </c>
      <c r="I1659" s="4" t="s">
        <v>4646</v>
      </c>
      <c r="J1659" s="4" t="s">
        <v>4647</v>
      </c>
      <c r="K1659" s="4" t="s">
        <v>5231</v>
      </c>
      <c r="L1659" s="5">
        <v>16562</v>
      </c>
    </row>
    <row r="1660" spans="1:12" x14ac:dyDescent="0.25">
      <c r="A1660" s="3" t="s">
        <v>1057</v>
      </c>
      <c r="B1660" s="4" t="s">
        <v>4643</v>
      </c>
      <c r="C1660" s="4" t="s">
        <v>14</v>
      </c>
      <c r="D1660" s="4" t="s">
        <v>15</v>
      </c>
      <c r="E1660" s="5" t="str">
        <f>"9051175"</f>
        <v>9051175</v>
      </c>
      <c r="F1660" s="3" t="s">
        <v>5232</v>
      </c>
      <c r="G1660" s="5">
        <v>2109632543</v>
      </c>
      <c r="H1660" s="4" t="s">
        <v>5233</v>
      </c>
      <c r="I1660" s="4" t="s">
        <v>4646</v>
      </c>
      <c r="J1660" s="4" t="s">
        <v>4647</v>
      </c>
      <c r="K1660" s="4" t="s">
        <v>5234</v>
      </c>
      <c r="L1660" s="5">
        <v>16675</v>
      </c>
    </row>
    <row r="1661" spans="1:12" x14ac:dyDescent="0.25">
      <c r="A1661" s="3" t="s">
        <v>1057</v>
      </c>
      <c r="B1661" s="4" t="s">
        <v>4643</v>
      </c>
      <c r="C1661" s="4" t="s">
        <v>14</v>
      </c>
      <c r="D1661" s="4" t="s">
        <v>15</v>
      </c>
      <c r="E1661" s="5" t="str">
        <f>"9051280"</f>
        <v>9051280</v>
      </c>
      <c r="F1661" s="3" t="s">
        <v>5235</v>
      </c>
      <c r="G1661" s="5">
        <v>2109620042</v>
      </c>
      <c r="H1661" s="4" t="s">
        <v>5236</v>
      </c>
      <c r="I1661" s="4" t="s">
        <v>4646</v>
      </c>
      <c r="J1661" s="4" t="s">
        <v>4647</v>
      </c>
      <c r="K1661" s="4" t="s">
        <v>5237</v>
      </c>
      <c r="L1661" s="5">
        <v>16674</v>
      </c>
    </row>
    <row r="1662" spans="1:12" x14ac:dyDescent="0.25">
      <c r="A1662" s="3" t="s">
        <v>1057</v>
      </c>
      <c r="B1662" s="4" t="s">
        <v>4643</v>
      </c>
      <c r="C1662" s="4" t="s">
        <v>14</v>
      </c>
      <c r="D1662" s="4" t="s">
        <v>15</v>
      </c>
      <c r="E1662" s="5" t="str">
        <f>"9520489"</f>
        <v>9520489</v>
      </c>
      <c r="F1662" s="3" t="s">
        <v>5238</v>
      </c>
      <c r="G1662" s="5">
        <v>2109634219</v>
      </c>
      <c r="H1662" s="4" t="s">
        <v>5239</v>
      </c>
      <c r="I1662" s="4" t="s">
        <v>4646</v>
      </c>
      <c r="J1662" s="4" t="s">
        <v>4647</v>
      </c>
      <c r="K1662" s="4" t="s">
        <v>5240</v>
      </c>
      <c r="L1662" s="5">
        <v>16561</v>
      </c>
    </row>
    <row r="1663" spans="1:12" x14ac:dyDescent="0.25">
      <c r="A1663" s="3" t="s">
        <v>1057</v>
      </c>
      <c r="B1663" s="4" t="s">
        <v>4643</v>
      </c>
      <c r="C1663" s="4" t="s">
        <v>14</v>
      </c>
      <c r="D1663" s="4" t="s">
        <v>15</v>
      </c>
      <c r="E1663" s="5" t="str">
        <f>"9050180"</f>
        <v>9050180</v>
      </c>
      <c r="F1663" s="3" t="s">
        <v>5241</v>
      </c>
      <c r="G1663" s="5">
        <v>2109618634</v>
      </c>
      <c r="H1663" s="4" t="s">
        <v>5242</v>
      </c>
      <c r="I1663" s="4" t="s">
        <v>4654</v>
      </c>
      <c r="J1663" s="4" t="s">
        <v>4694</v>
      </c>
      <c r="K1663" s="4" t="s">
        <v>5243</v>
      </c>
      <c r="L1663" s="5">
        <v>16777</v>
      </c>
    </row>
    <row r="1664" spans="1:12" x14ac:dyDescent="0.25">
      <c r="A1664" s="3" t="s">
        <v>1057</v>
      </c>
      <c r="B1664" s="4" t="s">
        <v>4643</v>
      </c>
      <c r="C1664" s="4" t="s">
        <v>14</v>
      </c>
      <c r="D1664" s="4" t="s">
        <v>15</v>
      </c>
      <c r="E1664" s="5" t="str">
        <f>"9050179"</f>
        <v>9050179</v>
      </c>
      <c r="F1664" s="3" t="s">
        <v>5244</v>
      </c>
      <c r="G1664" s="5">
        <v>2109628881</v>
      </c>
      <c r="H1664" s="4" t="s">
        <v>5245</v>
      </c>
      <c r="I1664" s="4" t="s">
        <v>4654</v>
      </c>
      <c r="J1664" s="4" t="s">
        <v>4694</v>
      </c>
      <c r="K1664" s="4" t="s">
        <v>5246</v>
      </c>
      <c r="L1664" s="5">
        <v>16777</v>
      </c>
    </row>
    <row r="1665" spans="1:12" x14ac:dyDescent="0.25">
      <c r="A1665" s="3" t="s">
        <v>1057</v>
      </c>
      <c r="B1665" s="4" t="s">
        <v>4643</v>
      </c>
      <c r="C1665" s="4" t="s">
        <v>14</v>
      </c>
      <c r="D1665" s="4" t="s">
        <v>15</v>
      </c>
      <c r="E1665" s="5" t="str">
        <f>"9051006"</f>
        <v>9051006</v>
      </c>
      <c r="F1665" s="3" t="s">
        <v>5247</v>
      </c>
      <c r="G1665" s="5">
        <v>2109917595</v>
      </c>
      <c r="H1665" s="4" t="s">
        <v>5248</v>
      </c>
      <c r="I1665" s="4" t="s">
        <v>4654</v>
      </c>
      <c r="J1665" s="4" t="s">
        <v>4694</v>
      </c>
      <c r="K1665" s="4" t="s">
        <v>5249</v>
      </c>
      <c r="L1665" s="5">
        <v>16777</v>
      </c>
    </row>
    <row r="1666" spans="1:12" x14ac:dyDescent="0.25">
      <c r="A1666" s="3" t="s">
        <v>1057</v>
      </c>
      <c r="B1666" s="4" t="s">
        <v>4643</v>
      </c>
      <c r="C1666" s="4" t="s">
        <v>14</v>
      </c>
      <c r="D1666" s="4" t="s">
        <v>15</v>
      </c>
      <c r="E1666" s="5" t="str">
        <f>"9050187"</f>
        <v>9050187</v>
      </c>
      <c r="F1666" s="3" t="s">
        <v>5250</v>
      </c>
      <c r="G1666" s="5">
        <v>2109919525</v>
      </c>
      <c r="H1666" s="4" t="s">
        <v>5251</v>
      </c>
      <c r="I1666" s="4" t="s">
        <v>4654</v>
      </c>
      <c r="J1666" s="4" t="s">
        <v>4655</v>
      </c>
      <c r="K1666" s="4" t="s">
        <v>5252</v>
      </c>
      <c r="L1666" s="5">
        <v>16451</v>
      </c>
    </row>
    <row r="1667" spans="1:12" x14ac:dyDescent="0.25">
      <c r="A1667" s="3" t="s">
        <v>1057</v>
      </c>
      <c r="B1667" s="4" t="s">
        <v>4643</v>
      </c>
      <c r="C1667" s="4" t="s">
        <v>14</v>
      </c>
      <c r="D1667" s="4" t="s">
        <v>830</v>
      </c>
      <c r="E1667" s="5" t="str">
        <f>"9050178"</f>
        <v>9050178</v>
      </c>
      <c r="F1667" s="3" t="s">
        <v>5253</v>
      </c>
      <c r="G1667" s="5">
        <v>2109813942</v>
      </c>
      <c r="H1667" s="4" t="s">
        <v>5254</v>
      </c>
      <c r="I1667" s="4" t="s">
        <v>4828</v>
      </c>
      <c r="J1667" s="4" t="s">
        <v>5123</v>
      </c>
      <c r="K1667" s="4" t="s">
        <v>5255</v>
      </c>
      <c r="L1667" s="5">
        <v>17455</v>
      </c>
    </row>
    <row r="1668" spans="1:12" x14ac:dyDescent="0.25">
      <c r="A1668" s="3" t="s">
        <v>1057</v>
      </c>
      <c r="B1668" s="4" t="s">
        <v>4643</v>
      </c>
      <c r="C1668" s="4" t="s">
        <v>14</v>
      </c>
      <c r="D1668" s="4" t="s">
        <v>15</v>
      </c>
      <c r="E1668" s="5" t="str">
        <f>"9050971"</f>
        <v>9050971</v>
      </c>
      <c r="F1668" s="3" t="s">
        <v>5256</v>
      </c>
      <c r="G1668" s="5">
        <v>2109833990</v>
      </c>
      <c r="H1668" s="4" t="s">
        <v>5257</v>
      </c>
      <c r="I1668" s="4" t="s">
        <v>4828</v>
      </c>
      <c r="J1668" s="4" t="s">
        <v>4829</v>
      </c>
      <c r="K1668" s="4" t="s">
        <v>5258</v>
      </c>
      <c r="L1668" s="5">
        <v>17455</v>
      </c>
    </row>
    <row r="1669" spans="1:12" x14ac:dyDescent="0.25">
      <c r="A1669" s="3" t="s">
        <v>1057</v>
      </c>
      <c r="B1669" s="4" t="s">
        <v>4643</v>
      </c>
      <c r="C1669" s="4" t="s">
        <v>14</v>
      </c>
      <c r="D1669" s="4" t="s">
        <v>15</v>
      </c>
      <c r="E1669" s="5" t="str">
        <f>"9050185"</f>
        <v>9050185</v>
      </c>
      <c r="F1669" s="3" t="s">
        <v>5259</v>
      </c>
      <c r="G1669" s="5">
        <v>2109919524</v>
      </c>
      <c r="H1669" s="4" t="s">
        <v>5260</v>
      </c>
      <c r="I1669" s="4" t="s">
        <v>4654</v>
      </c>
      <c r="J1669" s="4" t="s">
        <v>4655</v>
      </c>
      <c r="K1669" s="4" t="s">
        <v>5261</v>
      </c>
      <c r="L1669" s="5">
        <v>16451</v>
      </c>
    </row>
    <row r="1670" spans="1:12" x14ac:dyDescent="0.25">
      <c r="A1670" s="3" t="s">
        <v>1057</v>
      </c>
      <c r="B1670" s="4" t="s">
        <v>4643</v>
      </c>
      <c r="C1670" s="4" t="s">
        <v>14</v>
      </c>
      <c r="D1670" s="4" t="s">
        <v>15</v>
      </c>
      <c r="E1670" s="5" t="str">
        <f>"9050186"</f>
        <v>9050186</v>
      </c>
      <c r="F1670" s="3" t="s">
        <v>5262</v>
      </c>
      <c r="G1670" s="5">
        <v>2109916932</v>
      </c>
      <c r="H1670" s="4" t="s">
        <v>5263</v>
      </c>
      <c r="I1670" s="4" t="s">
        <v>4654</v>
      </c>
      <c r="J1670" s="4" t="s">
        <v>4655</v>
      </c>
      <c r="K1670" s="4" t="s">
        <v>5264</v>
      </c>
      <c r="L1670" s="5">
        <v>16452</v>
      </c>
    </row>
    <row r="1671" spans="1:12" x14ac:dyDescent="0.25">
      <c r="A1671" s="3" t="s">
        <v>1057</v>
      </c>
      <c r="B1671" s="4" t="s">
        <v>4643</v>
      </c>
      <c r="C1671" s="4" t="s">
        <v>14</v>
      </c>
      <c r="D1671" s="4" t="s">
        <v>15</v>
      </c>
      <c r="E1671" s="5" t="str">
        <f>"9050970"</f>
        <v>9050970</v>
      </c>
      <c r="F1671" s="3" t="s">
        <v>5265</v>
      </c>
      <c r="G1671" s="5">
        <v>2108946001</v>
      </c>
      <c r="H1671" s="4" t="s">
        <v>5266</v>
      </c>
      <c r="I1671" s="4" t="s">
        <v>4646</v>
      </c>
      <c r="J1671" s="4" t="s">
        <v>4647</v>
      </c>
      <c r="K1671" s="4" t="s">
        <v>5267</v>
      </c>
      <c r="L1671" s="5">
        <v>16674</v>
      </c>
    </row>
    <row r="1672" spans="1:12" ht="30" x14ac:dyDescent="0.25">
      <c r="A1672" s="3" t="s">
        <v>1057</v>
      </c>
      <c r="B1672" s="4" t="s">
        <v>4643</v>
      </c>
      <c r="C1672" s="4" t="s">
        <v>14</v>
      </c>
      <c r="D1672" s="4" t="s">
        <v>15</v>
      </c>
      <c r="E1672" s="5" t="str">
        <f>"9050175"</f>
        <v>9050175</v>
      </c>
      <c r="F1672" s="3" t="s">
        <v>5268</v>
      </c>
      <c r="G1672" s="5">
        <v>2109829800</v>
      </c>
      <c r="H1672" s="4" t="s">
        <v>5269</v>
      </c>
      <c r="I1672" s="4" t="s">
        <v>4828</v>
      </c>
      <c r="J1672" s="4" t="s">
        <v>4829</v>
      </c>
      <c r="K1672" s="4" t="s">
        <v>5270</v>
      </c>
      <c r="L1672" s="5">
        <v>17456</v>
      </c>
    </row>
    <row r="1673" spans="1:12" x14ac:dyDescent="0.25">
      <c r="A1673" s="3" t="s">
        <v>1057</v>
      </c>
      <c r="B1673" s="4" t="s">
        <v>4643</v>
      </c>
      <c r="C1673" s="4" t="s">
        <v>14</v>
      </c>
      <c r="D1673" s="4" t="s">
        <v>15</v>
      </c>
      <c r="E1673" s="5" t="str">
        <f>"9051279"</f>
        <v>9051279</v>
      </c>
      <c r="F1673" s="3" t="s">
        <v>5271</v>
      </c>
      <c r="G1673" s="5">
        <v>2109919563</v>
      </c>
      <c r="H1673" s="4" t="s">
        <v>5272</v>
      </c>
      <c r="I1673" s="4" t="s">
        <v>4654</v>
      </c>
      <c r="J1673" s="4" t="s">
        <v>4655</v>
      </c>
      <c r="K1673" s="4" t="s">
        <v>5273</v>
      </c>
      <c r="L1673" s="5">
        <v>16452</v>
      </c>
    </row>
    <row r="1674" spans="1:12" x14ac:dyDescent="0.25">
      <c r="A1674" s="3" t="s">
        <v>1057</v>
      </c>
      <c r="B1674" s="4" t="s">
        <v>4643</v>
      </c>
      <c r="C1674" s="4" t="s">
        <v>25</v>
      </c>
      <c r="D1674" s="4" t="s">
        <v>26</v>
      </c>
      <c r="E1674" s="5" t="str">
        <f>"9520376"</f>
        <v>9520376</v>
      </c>
      <c r="F1674" s="3" t="s">
        <v>5274</v>
      </c>
      <c r="G1674" s="5">
        <v>2109967569</v>
      </c>
      <c r="H1674" s="4" t="s">
        <v>5275</v>
      </c>
      <c r="I1674" s="4" t="s">
        <v>4828</v>
      </c>
      <c r="J1674" s="4" t="s">
        <v>4829</v>
      </c>
      <c r="K1674" s="4" t="s">
        <v>5276</v>
      </c>
      <c r="L1674" s="5">
        <v>17456</v>
      </c>
    </row>
    <row r="1675" spans="1:12" x14ac:dyDescent="0.25">
      <c r="A1675" s="3" t="s">
        <v>1057</v>
      </c>
      <c r="B1675" s="4" t="s">
        <v>4643</v>
      </c>
      <c r="C1675" s="4" t="s">
        <v>25</v>
      </c>
      <c r="D1675" s="4" t="s">
        <v>26</v>
      </c>
      <c r="E1675" s="5" t="str">
        <f>"9520396"</f>
        <v>9520396</v>
      </c>
      <c r="F1675" s="3" t="s">
        <v>5277</v>
      </c>
      <c r="G1675" s="5">
        <v>2109617977</v>
      </c>
      <c r="H1675" s="4" t="s">
        <v>5278</v>
      </c>
      <c r="I1675" s="4" t="s">
        <v>4646</v>
      </c>
      <c r="J1675" s="4" t="s">
        <v>4647</v>
      </c>
      <c r="K1675" s="4" t="s">
        <v>5279</v>
      </c>
      <c r="L1675" s="5">
        <v>16561</v>
      </c>
    </row>
    <row r="1676" spans="1:12" x14ac:dyDescent="0.25">
      <c r="A1676" s="3" t="s">
        <v>1057</v>
      </c>
      <c r="B1676" s="4" t="s">
        <v>4643</v>
      </c>
      <c r="C1676" s="4" t="s">
        <v>25</v>
      </c>
      <c r="D1676" s="4" t="s">
        <v>26</v>
      </c>
      <c r="E1676" s="5" t="str">
        <f>"9051078"</f>
        <v>9051078</v>
      </c>
      <c r="F1676" s="3" t="s">
        <v>5280</v>
      </c>
      <c r="G1676" s="5">
        <v>2109883285</v>
      </c>
      <c r="H1676" s="4" t="s">
        <v>5281</v>
      </c>
      <c r="I1676" s="4" t="s">
        <v>4828</v>
      </c>
      <c r="J1676" s="4" t="s">
        <v>4829</v>
      </c>
      <c r="K1676" s="4" t="s">
        <v>5282</v>
      </c>
      <c r="L1676" s="5">
        <v>17455</v>
      </c>
    </row>
    <row r="1677" spans="1:12" x14ac:dyDescent="0.25">
      <c r="A1677" s="3" t="s">
        <v>1057</v>
      </c>
      <c r="B1677" s="4" t="s">
        <v>4643</v>
      </c>
      <c r="C1677" s="4" t="s">
        <v>25</v>
      </c>
      <c r="D1677" s="4" t="s">
        <v>26</v>
      </c>
      <c r="E1677" s="5" t="str">
        <f>"9051887"</f>
        <v>9051887</v>
      </c>
      <c r="F1677" s="3" t="s">
        <v>5283</v>
      </c>
      <c r="G1677" s="5">
        <v>2109638527</v>
      </c>
      <c r="H1677" s="4" t="s">
        <v>5284</v>
      </c>
      <c r="I1677" s="4" t="s">
        <v>4646</v>
      </c>
      <c r="J1677" s="4" t="s">
        <v>5285</v>
      </c>
      <c r="K1677" s="4" t="s">
        <v>5286</v>
      </c>
      <c r="L1677" s="5">
        <v>16674</v>
      </c>
    </row>
    <row r="1678" spans="1:12" x14ac:dyDescent="0.25">
      <c r="A1678" s="3" t="s">
        <v>1057</v>
      </c>
      <c r="B1678" s="4" t="s">
        <v>4643</v>
      </c>
      <c r="C1678" s="4" t="s">
        <v>25</v>
      </c>
      <c r="D1678" s="4" t="s">
        <v>26</v>
      </c>
      <c r="E1678" s="5" t="str">
        <f>"9520423"</f>
        <v>9520423</v>
      </c>
      <c r="F1678" s="3" t="s">
        <v>5287</v>
      </c>
      <c r="G1678" s="5">
        <v>2109648577</v>
      </c>
      <c r="H1678" s="4" t="s">
        <v>5288</v>
      </c>
      <c r="I1678" s="4" t="s">
        <v>4654</v>
      </c>
      <c r="J1678" s="4" t="s">
        <v>5289</v>
      </c>
      <c r="K1678" s="4" t="s">
        <v>5290</v>
      </c>
      <c r="L1678" s="5">
        <v>16777</v>
      </c>
    </row>
    <row r="1679" spans="1:12" x14ac:dyDescent="0.25">
      <c r="A1679" s="3" t="s">
        <v>1057</v>
      </c>
      <c r="B1679" s="4" t="s">
        <v>4643</v>
      </c>
      <c r="C1679" s="4" t="s">
        <v>14</v>
      </c>
      <c r="D1679" s="4" t="s">
        <v>15</v>
      </c>
      <c r="E1679" s="5" t="str">
        <f>"9050211"</f>
        <v>9050211</v>
      </c>
      <c r="F1679" s="3" t="s">
        <v>5291</v>
      </c>
      <c r="G1679" s="5">
        <v>2109560128</v>
      </c>
      <c r="H1679" s="4" t="s">
        <v>5292</v>
      </c>
      <c r="I1679" s="4" t="s">
        <v>4659</v>
      </c>
      <c r="J1679" s="4" t="s">
        <v>4660</v>
      </c>
      <c r="K1679" s="4" t="s">
        <v>5293</v>
      </c>
      <c r="L1679" s="5">
        <v>17673</v>
      </c>
    </row>
    <row r="1680" spans="1:12" x14ac:dyDescent="0.25">
      <c r="A1680" s="3" t="s">
        <v>1057</v>
      </c>
      <c r="B1680" s="4" t="s">
        <v>4643</v>
      </c>
      <c r="C1680" s="4" t="s">
        <v>25</v>
      </c>
      <c r="D1680" s="4" t="s">
        <v>26</v>
      </c>
      <c r="E1680" s="5" t="str">
        <f>"9521655"</f>
        <v>9521655</v>
      </c>
      <c r="F1680" s="3" t="s">
        <v>5294</v>
      </c>
      <c r="G1680" s="5">
        <v>2109820427</v>
      </c>
      <c r="H1680" s="4" t="s">
        <v>5295</v>
      </c>
      <c r="I1680" s="4" t="s">
        <v>4753</v>
      </c>
      <c r="J1680" s="4" t="s">
        <v>4753</v>
      </c>
      <c r="K1680" s="4" t="s">
        <v>5296</v>
      </c>
      <c r="L1680" s="5">
        <v>17342</v>
      </c>
    </row>
    <row r="1681" spans="1:12" x14ac:dyDescent="0.25">
      <c r="A1681" s="3" t="s">
        <v>1057</v>
      </c>
      <c r="B1681" s="4" t="s">
        <v>4643</v>
      </c>
      <c r="C1681" s="4" t="s">
        <v>25</v>
      </c>
      <c r="D1681" s="4" t="s">
        <v>26</v>
      </c>
      <c r="E1681" s="5" t="str">
        <f>"9054001"</f>
        <v>9054001</v>
      </c>
      <c r="F1681" s="3" t="s">
        <v>5297</v>
      </c>
      <c r="G1681" s="5">
        <v>2109421793</v>
      </c>
      <c r="H1681" s="4" t="s">
        <v>5298</v>
      </c>
      <c r="I1681" s="4" t="s">
        <v>4679</v>
      </c>
      <c r="J1681" s="4" t="s">
        <v>4698</v>
      </c>
      <c r="K1681" s="4" t="s">
        <v>5299</v>
      </c>
      <c r="L1681" s="5">
        <v>18345</v>
      </c>
    </row>
    <row r="1682" spans="1:12" x14ac:dyDescent="0.25">
      <c r="A1682" s="3" t="s">
        <v>1057</v>
      </c>
      <c r="B1682" s="4" t="s">
        <v>4643</v>
      </c>
      <c r="C1682" s="4" t="s">
        <v>25</v>
      </c>
      <c r="D1682" s="4" t="s">
        <v>26</v>
      </c>
      <c r="E1682" s="5" t="str">
        <f>"9054003"</f>
        <v>9054003</v>
      </c>
      <c r="F1682" s="3" t="s">
        <v>5300</v>
      </c>
      <c r="G1682" s="5">
        <v>2109325119</v>
      </c>
      <c r="H1682" s="4" t="s">
        <v>5301</v>
      </c>
      <c r="I1682" s="4" t="s">
        <v>4758</v>
      </c>
      <c r="J1682" s="4" t="s">
        <v>4759</v>
      </c>
      <c r="K1682" s="4" t="s">
        <v>5302</v>
      </c>
      <c r="L1682" s="5">
        <v>17122</v>
      </c>
    </row>
    <row r="1683" spans="1:12" x14ac:dyDescent="0.25">
      <c r="A1683" s="3" t="s">
        <v>1057</v>
      </c>
      <c r="B1683" s="4" t="s">
        <v>4643</v>
      </c>
      <c r="C1683" s="4" t="s">
        <v>25</v>
      </c>
      <c r="D1683" s="4" t="s">
        <v>26</v>
      </c>
      <c r="E1683" s="5" t="str">
        <f>"9054005"</f>
        <v>9054005</v>
      </c>
      <c r="F1683" s="3" t="s">
        <v>5303</v>
      </c>
      <c r="G1683" s="5">
        <v>2109348066</v>
      </c>
      <c r="H1683" s="4" t="s">
        <v>5304</v>
      </c>
      <c r="I1683" s="4" t="s">
        <v>4758</v>
      </c>
      <c r="J1683" s="4" t="s">
        <v>4759</v>
      </c>
      <c r="K1683" s="4" t="s">
        <v>5305</v>
      </c>
      <c r="L1683" s="5">
        <v>17123</v>
      </c>
    </row>
    <row r="1684" spans="1:12" x14ac:dyDescent="0.25">
      <c r="A1684" s="3" t="s">
        <v>1057</v>
      </c>
      <c r="B1684" s="4" t="s">
        <v>4643</v>
      </c>
      <c r="C1684" s="4" t="s">
        <v>25</v>
      </c>
      <c r="D1684" s="4" t="s">
        <v>26</v>
      </c>
      <c r="E1684" s="5" t="str">
        <f>"9054007"</f>
        <v>9054007</v>
      </c>
      <c r="F1684" s="3" t="s">
        <v>5306</v>
      </c>
      <c r="G1684" s="5">
        <v>2109342447</v>
      </c>
      <c r="H1684" s="4" t="s">
        <v>5307</v>
      </c>
      <c r="I1684" s="4" t="s">
        <v>4758</v>
      </c>
      <c r="J1684" s="4" t="s">
        <v>4759</v>
      </c>
      <c r="K1684" s="4" t="s">
        <v>5308</v>
      </c>
      <c r="L1684" s="5">
        <v>17124</v>
      </c>
    </row>
    <row r="1685" spans="1:12" x14ac:dyDescent="0.25">
      <c r="A1685" s="3" t="s">
        <v>1057</v>
      </c>
      <c r="B1685" s="4" t="s">
        <v>5309</v>
      </c>
      <c r="C1685" s="4" t="s">
        <v>14</v>
      </c>
      <c r="D1685" s="4" t="s">
        <v>15</v>
      </c>
      <c r="E1685" s="5" t="str">
        <f>"9521012"</f>
        <v>9521012</v>
      </c>
      <c r="F1685" s="3" t="s">
        <v>5310</v>
      </c>
      <c r="G1685" s="5">
        <v>2105555466</v>
      </c>
      <c r="H1685" s="4" t="s">
        <v>5311</v>
      </c>
      <c r="I1685" s="4" t="s">
        <v>5312</v>
      </c>
      <c r="J1685" s="4" t="s">
        <v>5313</v>
      </c>
      <c r="K1685" s="4" t="s">
        <v>5314</v>
      </c>
      <c r="L1685" s="5">
        <v>19018</v>
      </c>
    </row>
    <row r="1686" spans="1:12" x14ac:dyDescent="0.25">
      <c r="A1686" s="3" t="s">
        <v>1057</v>
      </c>
      <c r="B1686" s="4" t="s">
        <v>5309</v>
      </c>
      <c r="C1686" s="4" t="s">
        <v>25</v>
      </c>
      <c r="D1686" s="4" t="s">
        <v>26</v>
      </c>
      <c r="E1686" s="5" t="str">
        <f>"9050872"</f>
        <v>9050872</v>
      </c>
      <c r="F1686" s="3" t="s">
        <v>5315</v>
      </c>
      <c r="G1686" s="5">
        <v>2105542556</v>
      </c>
      <c r="H1686" s="4" t="s">
        <v>5316</v>
      </c>
      <c r="I1686" s="4" t="s">
        <v>5312</v>
      </c>
      <c r="J1686" s="4" t="s">
        <v>5312</v>
      </c>
      <c r="K1686" s="4" t="s">
        <v>5317</v>
      </c>
      <c r="L1686" s="5">
        <v>19200</v>
      </c>
    </row>
    <row r="1687" spans="1:12" x14ac:dyDescent="0.25">
      <c r="A1687" s="3" t="s">
        <v>1057</v>
      </c>
      <c r="B1687" s="4" t="s">
        <v>5309</v>
      </c>
      <c r="C1687" s="4" t="s">
        <v>14</v>
      </c>
      <c r="D1687" s="4" t="s">
        <v>15</v>
      </c>
      <c r="E1687" s="5" t="str">
        <f>"9050649"</f>
        <v>9050649</v>
      </c>
      <c r="F1687" s="3" t="s">
        <v>5318</v>
      </c>
      <c r="G1687" s="5">
        <v>2296028580</v>
      </c>
      <c r="H1687" s="4" t="s">
        <v>5319</v>
      </c>
      <c r="I1687" s="4" t="s">
        <v>5320</v>
      </c>
      <c r="J1687" s="4" t="s">
        <v>5321</v>
      </c>
      <c r="K1687" s="4" t="s">
        <v>5322</v>
      </c>
      <c r="L1687" s="5">
        <v>19100</v>
      </c>
    </row>
    <row r="1688" spans="1:12" x14ac:dyDescent="0.25">
      <c r="A1688" s="3" t="s">
        <v>1057</v>
      </c>
      <c r="B1688" s="4" t="s">
        <v>5309</v>
      </c>
      <c r="C1688" s="4" t="s">
        <v>14</v>
      </c>
      <c r="D1688" s="4" t="s">
        <v>15</v>
      </c>
      <c r="E1688" s="5" t="str">
        <f>"9050925"</f>
        <v>9050925</v>
      </c>
      <c r="F1688" s="3" t="s">
        <v>5323</v>
      </c>
      <c r="G1688" s="5">
        <v>2296081779</v>
      </c>
      <c r="H1688" s="4" t="s">
        <v>5324</v>
      </c>
      <c r="I1688" s="4" t="s">
        <v>5320</v>
      </c>
      <c r="J1688" s="4" t="s">
        <v>5325</v>
      </c>
      <c r="K1688" s="4" t="s">
        <v>5326</v>
      </c>
      <c r="L1688" s="5">
        <v>19100</v>
      </c>
    </row>
    <row r="1689" spans="1:12" x14ac:dyDescent="0.25">
      <c r="A1689" s="3" t="s">
        <v>1057</v>
      </c>
      <c r="B1689" s="4" t="s">
        <v>5309</v>
      </c>
      <c r="C1689" s="4" t="s">
        <v>14</v>
      </c>
      <c r="D1689" s="4" t="s">
        <v>15</v>
      </c>
      <c r="E1689" s="5" t="str">
        <f>"9051158"</f>
        <v>9051158</v>
      </c>
      <c r="F1689" s="3" t="s">
        <v>5327</v>
      </c>
      <c r="G1689" s="5">
        <v>2105556248</v>
      </c>
      <c r="H1689" s="4" t="s">
        <v>5328</v>
      </c>
      <c r="I1689" s="4" t="s">
        <v>5329</v>
      </c>
      <c r="J1689" s="4" t="s">
        <v>5330</v>
      </c>
      <c r="K1689" s="4" t="s">
        <v>5331</v>
      </c>
      <c r="L1689" s="5">
        <v>19600</v>
      </c>
    </row>
    <row r="1690" spans="1:12" x14ac:dyDescent="0.25">
      <c r="A1690" s="3" t="s">
        <v>1057</v>
      </c>
      <c r="B1690" s="4" t="s">
        <v>5309</v>
      </c>
      <c r="C1690" s="4" t="s">
        <v>14</v>
      </c>
      <c r="D1690" s="4" t="s">
        <v>15</v>
      </c>
      <c r="E1690" s="5" t="str">
        <f>"9050832"</f>
        <v>9050832</v>
      </c>
      <c r="F1690" s="3" t="s">
        <v>5332</v>
      </c>
      <c r="G1690" s="5">
        <v>2105598382</v>
      </c>
      <c r="H1690" s="4" t="s">
        <v>5333</v>
      </c>
      <c r="I1690" s="4" t="s">
        <v>5334</v>
      </c>
      <c r="J1690" s="4" t="s">
        <v>5335</v>
      </c>
      <c r="K1690" s="4" t="s">
        <v>5336</v>
      </c>
      <c r="L1690" s="5">
        <v>19300</v>
      </c>
    </row>
    <row r="1691" spans="1:12" x14ac:dyDescent="0.25">
      <c r="A1691" s="3" t="s">
        <v>1057</v>
      </c>
      <c r="B1691" s="4" t="s">
        <v>5309</v>
      </c>
      <c r="C1691" s="4" t="s">
        <v>14</v>
      </c>
      <c r="D1691" s="4" t="s">
        <v>15</v>
      </c>
      <c r="E1691" s="5" t="str">
        <f>"9050644"</f>
        <v>9050644</v>
      </c>
      <c r="F1691" s="3" t="s">
        <v>5337</v>
      </c>
      <c r="G1691" s="5">
        <v>2296029277</v>
      </c>
      <c r="H1691" s="4" t="s">
        <v>5338</v>
      </c>
      <c r="I1691" s="4" t="s">
        <v>5320</v>
      </c>
      <c r="J1691" s="4" t="s">
        <v>5321</v>
      </c>
      <c r="K1691" s="4" t="s">
        <v>5339</v>
      </c>
      <c r="L1691" s="5">
        <v>19100</v>
      </c>
    </row>
    <row r="1692" spans="1:12" x14ac:dyDescent="0.25">
      <c r="A1692" s="3" t="s">
        <v>1057</v>
      </c>
      <c r="B1692" s="4" t="s">
        <v>5309</v>
      </c>
      <c r="C1692" s="4" t="s">
        <v>25</v>
      </c>
      <c r="D1692" s="4" t="s">
        <v>26</v>
      </c>
      <c r="E1692" s="5" t="str">
        <f>"9051472"</f>
        <v>9051472</v>
      </c>
      <c r="F1692" s="3" t="s">
        <v>5340</v>
      </c>
      <c r="G1692" s="5">
        <v>2102473190</v>
      </c>
      <c r="H1692" s="4" t="s">
        <v>5341</v>
      </c>
      <c r="I1692" s="4" t="s">
        <v>5342</v>
      </c>
      <c r="J1692" s="4" t="s">
        <v>5343</v>
      </c>
      <c r="K1692" s="4" t="s">
        <v>5344</v>
      </c>
      <c r="L1692" s="5">
        <v>13341</v>
      </c>
    </row>
    <row r="1693" spans="1:12" x14ac:dyDescent="0.25">
      <c r="A1693" s="3" t="s">
        <v>1057</v>
      </c>
      <c r="B1693" s="4" t="s">
        <v>5309</v>
      </c>
      <c r="C1693" s="4" t="s">
        <v>14</v>
      </c>
      <c r="D1693" s="4" t="s">
        <v>15</v>
      </c>
      <c r="E1693" s="5" t="str">
        <f>"9050615"</f>
        <v>9050615</v>
      </c>
      <c r="F1693" s="3" t="s">
        <v>5345</v>
      </c>
      <c r="G1693" s="5">
        <v>2105574010</v>
      </c>
      <c r="H1693" s="4" t="s">
        <v>5346</v>
      </c>
      <c r="I1693" s="4" t="s">
        <v>5334</v>
      </c>
      <c r="J1693" s="4" t="s">
        <v>5335</v>
      </c>
      <c r="K1693" s="4" t="s">
        <v>5347</v>
      </c>
      <c r="L1693" s="5">
        <v>19300</v>
      </c>
    </row>
    <row r="1694" spans="1:12" x14ac:dyDescent="0.25">
      <c r="A1694" s="3" t="s">
        <v>1057</v>
      </c>
      <c r="B1694" s="4" t="s">
        <v>5309</v>
      </c>
      <c r="C1694" s="4" t="s">
        <v>25</v>
      </c>
      <c r="D1694" s="4" t="s">
        <v>26</v>
      </c>
      <c r="E1694" s="5" t="str">
        <f>"9051528"</f>
        <v>9051528</v>
      </c>
      <c r="F1694" s="3" t="s">
        <v>5348</v>
      </c>
      <c r="G1694" s="5">
        <v>2102475809</v>
      </c>
      <c r="H1694" s="4" t="s">
        <v>5349</v>
      </c>
      <c r="I1694" s="4" t="s">
        <v>5342</v>
      </c>
      <c r="J1694" s="4" t="s">
        <v>5350</v>
      </c>
      <c r="K1694" s="4" t="s">
        <v>5351</v>
      </c>
      <c r="L1694" s="5">
        <v>13341</v>
      </c>
    </row>
    <row r="1695" spans="1:12" x14ac:dyDescent="0.25">
      <c r="A1695" s="3" t="s">
        <v>1057</v>
      </c>
      <c r="B1695" s="4" t="s">
        <v>5309</v>
      </c>
      <c r="C1695" s="4" t="s">
        <v>25</v>
      </c>
      <c r="D1695" s="4" t="s">
        <v>26</v>
      </c>
      <c r="E1695" s="5" t="str">
        <f>"9051759"</f>
        <v>9051759</v>
      </c>
      <c r="F1695" s="3" t="s">
        <v>5352</v>
      </c>
      <c r="G1695" s="5">
        <v>2102470637</v>
      </c>
      <c r="H1695" s="4" t="s">
        <v>5353</v>
      </c>
      <c r="I1695" s="4" t="s">
        <v>5342</v>
      </c>
      <c r="J1695" s="4" t="s">
        <v>5343</v>
      </c>
      <c r="K1695" s="4" t="s">
        <v>5354</v>
      </c>
      <c r="L1695" s="5">
        <v>13341</v>
      </c>
    </row>
    <row r="1696" spans="1:12" x14ac:dyDescent="0.25">
      <c r="A1696" s="3" t="s">
        <v>1057</v>
      </c>
      <c r="B1696" s="4" t="s">
        <v>5309</v>
      </c>
      <c r="C1696" s="4" t="s">
        <v>14</v>
      </c>
      <c r="D1696" s="4" t="s">
        <v>15</v>
      </c>
      <c r="E1696" s="5" t="str">
        <f>"9051842"</f>
        <v>9051842</v>
      </c>
      <c r="F1696" s="3" t="s">
        <v>5355</v>
      </c>
      <c r="G1696" s="5">
        <v>2296032677</v>
      </c>
      <c r="H1696" s="4" t="s">
        <v>5356</v>
      </c>
      <c r="I1696" s="4" t="s">
        <v>5320</v>
      </c>
      <c r="J1696" s="4" t="s">
        <v>5357</v>
      </c>
      <c r="K1696" s="4" t="s">
        <v>5358</v>
      </c>
      <c r="L1696" s="5">
        <v>19006</v>
      </c>
    </row>
    <row r="1697" spans="1:12" x14ac:dyDescent="0.25">
      <c r="A1697" s="3" t="s">
        <v>1057</v>
      </c>
      <c r="B1697" s="4" t="s">
        <v>5309</v>
      </c>
      <c r="C1697" s="4" t="s">
        <v>25</v>
      </c>
      <c r="D1697" s="4" t="s">
        <v>26</v>
      </c>
      <c r="E1697" s="5" t="str">
        <f>"9050265"</f>
        <v>9050265</v>
      </c>
      <c r="F1697" s="3" t="s">
        <v>5359</v>
      </c>
      <c r="G1697" s="5">
        <v>2102473709</v>
      </c>
      <c r="H1697" s="4" t="s">
        <v>5360</v>
      </c>
      <c r="I1697" s="4" t="s">
        <v>5342</v>
      </c>
      <c r="J1697" s="4" t="s">
        <v>5350</v>
      </c>
      <c r="K1697" s="4" t="s">
        <v>5361</v>
      </c>
      <c r="L1697" s="5">
        <v>13341</v>
      </c>
    </row>
    <row r="1698" spans="1:12" x14ac:dyDescent="0.25">
      <c r="A1698" s="3" t="s">
        <v>1057</v>
      </c>
      <c r="B1698" s="4" t="s">
        <v>5309</v>
      </c>
      <c r="C1698" s="4" t="s">
        <v>14</v>
      </c>
      <c r="D1698" s="4" t="s">
        <v>15</v>
      </c>
      <c r="E1698" s="5" t="str">
        <f>"9051801"</f>
        <v>9051801</v>
      </c>
      <c r="F1698" s="3" t="s">
        <v>5362</v>
      </c>
      <c r="G1698" s="5">
        <v>2105575949</v>
      </c>
      <c r="H1698" s="4" t="s">
        <v>5363</v>
      </c>
      <c r="I1698" s="4" t="s">
        <v>5334</v>
      </c>
      <c r="J1698" s="4" t="s">
        <v>5335</v>
      </c>
      <c r="K1698" s="4" t="s">
        <v>5364</v>
      </c>
      <c r="L1698" s="5">
        <v>19300</v>
      </c>
    </row>
    <row r="1699" spans="1:12" x14ac:dyDescent="0.25">
      <c r="A1699" s="3" t="s">
        <v>1057</v>
      </c>
      <c r="B1699" s="4" t="s">
        <v>5309</v>
      </c>
      <c r="C1699" s="4" t="s">
        <v>14</v>
      </c>
      <c r="D1699" s="4" t="s">
        <v>15</v>
      </c>
      <c r="E1699" s="5" t="str">
        <f>"9051785"</f>
        <v>9051785</v>
      </c>
      <c r="F1699" s="3" t="s">
        <v>5365</v>
      </c>
      <c r="G1699" s="5">
        <v>2296025919</v>
      </c>
      <c r="H1699" s="4" t="s">
        <v>5366</v>
      </c>
      <c r="I1699" s="4" t="s">
        <v>5320</v>
      </c>
      <c r="J1699" s="4" t="s">
        <v>5325</v>
      </c>
      <c r="K1699" s="4" t="s">
        <v>5367</v>
      </c>
      <c r="L1699" s="5">
        <v>19100</v>
      </c>
    </row>
    <row r="1700" spans="1:12" x14ac:dyDescent="0.25">
      <c r="A1700" s="3" t="s">
        <v>1057</v>
      </c>
      <c r="B1700" s="4" t="s">
        <v>5309</v>
      </c>
      <c r="C1700" s="4" t="s">
        <v>25</v>
      </c>
      <c r="D1700" s="4" t="s">
        <v>26</v>
      </c>
      <c r="E1700" s="5" t="str">
        <f>"9050266"</f>
        <v>9050266</v>
      </c>
      <c r="F1700" s="3" t="s">
        <v>5368</v>
      </c>
      <c r="G1700" s="5">
        <v>2102475355</v>
      </c>
      <c r="H1700" s="4" t="s">
        <v>5369</v>
      </c>
      <c r="I1700" s="4" t="s">
        <v>5342</v>
      </c>
      <c r="J1700" s="4" t="s">
        <v>5350</v>
      </c>
      <c r="K1700" s="4" t="s">
        <v>5370</v>
      </c>
      <c r="L1700" s="5">
        <v>13341</v>
      </c>
    </row>
    <row r="1701" spans="1:12" x14ac:dyDescent="0.25">
      <c r="A1701" s="3" t="s">
        <v>1057</v>
      </c>
      <c r="B1701" s="4" t="s">
        <v>5309</v>
      </c>
      <c r="C1701" s="4" t="s">
        <v>14</v>
      </c>
      <c r="D1701" s="4" t="s">
        <v>15</v>
      </c>
      <c r="E1701" s="5" t="str">
        <f>"9051805"</f>
        <v>9051805</v>
      </c>
      <c r="F1701" s="3" t="s">
        <v>5371</v>
      </c>
      <c r="G1701" s="5">
        <v>2105558178</v>
      </c>
      <c r="H1701" s="4" t="s">
        <v>5372</v>
      </c>
      <c r="I1701" s="4" t="s">
        <v>5329</v>
      </c>
      <c r="J1701" s="4" t="s">
        <v>5330</v>
      </c>
      <c r="K1701" s="4" t="s">
        <v>5373</v>
      </c>
      <c r="L1701" s="5">
        <v>19600</v>
      </c>
    </row>
    <row r="1702" spans="1:12" x14ac:dyDescent="0.25">
      <c r="A1702" s="3" t="s">
        <v>1057</v>
      </c>
      <c r="B1702" s="4" t="s">
        <v>5309</v>
      </c>
      <c r="C1702" s="4" t="s">
        <v>14</v>
      </c>
      <c r="D1702" s="4" t="s">
        <v>15</v>
      </c>
      <c r="E1702" s="5" t="str">
        <f>"9051840"</f>
        <v>9051840</v>
      </c>
      <c r="F1702" s="3" t="s">
        <v>5374</v>
      </c>
      <c r="G1702" s="5">
        <v>2105543035</v>
      </c>
      <c r="H1702" s="4" t="s">
        <v>5375</v>
      </c>
      <c r="I1702" s="4" t="s">
        <v>5312</v>
      </c>
      <c r="J1702" s="4" t="s">
        <v>5376</v>
      </c>
      <c r="K1702" s="4" t="s">
        <v>5377</v>
      </c>
      <c r="L1702" s="5">
        <v>19200</v>
      </c>
    </row>
    <row r="1703" spans="1:12" x14ac:dyDescent="0.25">
      <c r="A1703" s="3" t="s">
        <v>1057</v>
      </c>
      <c r="B1703" s="4" t="s">
        <v>5309</v>
      </c>
      <c r="C1703" s="4" t="s">
        <v>25</v>
      </c>
      <c r="D1703" s="4" t="s">
        <v>26</v>
      </c>
      <c r="E1703" s="5" t="str">
        <f>"9050870"</f>
        <v>9050870</v>
      </c>
      <c r="F1703" s="3" t="s">
        <v>5378</v>
      </c>
      <c r="G1703" s="5">
        <v>2102471143</v>
      </c>
      <c r="H1703" s="4" t="s">
        <v>5379</v>
      </c>
      <c r="I1703" s="4" t="s">
        <v>5342</v>
      </c>
      <c r="J1703" s="4" t="s">
        <v>5350</v>
      </c>
      <c r="K1703" s="4" t="s">
        <v>5380</v>
      </c>
      <c r="L1703" s="5">
        <v>13341</v>
      </c>
    </row>
    <row r="1704" spans="1:12" x14ac:dyDescent="0.25">
      <c r="A1704" s="3" t="s">
        <v>1057</v>
      </c>
      <c r="B1704" s="4" t="s">
        <v>5309</v>
      </c>
      <c r="C1704" s="4" t="s">
        <v>25</v>
      </c>
      <c r="D1704" s="4" t="s">
        <v>26</v>
      </c>
      <c r="E1704" s="5" t="str">
        <f>"9051594"</f>
        <v>9051594</v>
      </c>
      <c r="F1704" s="3" t="s">
        <v>5381</v>
      </c>
      <c r="G1704" s="5">
        <v>2102474434</v>
      </c>
      <c r="H1704" s="4" t="s">
        <v>5382</v>
      </c>
      <c r="I1704" s="4" t="s">
        <v>5342</v>
      </c>
      <c r="J1704" s="4" t="s">
        <v>5343</v>
      </c>
      <c r="K1704" s="4" t="s">
        <v>5383</v>
      </c>
      <c r="L1704" s="5">
        <v>13341</v>
      </c>
    </row>
    <row r="1705" spans="1:12" x14ac:dyDescent="0.25">
      <c r="A1705" s="3" t="s">
        <v>1057</v>
      </c>
      <c r="B1705" s="4" t="s">
        <v>5309</v>
      </c>
      <c r="C1705" s="4" t="s">
        <v>25</v>
      </c>
      <c r="D1705" s="4" t="s">
        <v>26</v>
      </c>
      <c r="E1705" s="5" t="str">
        <f>"9050801"</f>
        <v>9050801</v>
      </c>
      <c r="F1705" s="3" t="s">
        <v>5384</v>
      </c>
      <c r="G1705" s="5">
        <v>2105541915</v>
      </c>
      <c r="H1705" s="4" t="s">
        <v>5385</v>
      </c>
      <c r="I1705" s="4" t="s">
        <v>5312</v>
      </c>
      <c r="J1705" s="4" t="s">
        <v>5312</v>
      </c>
      <c r="K1705" s="4" t="s">
        <v>5386</v>
      </c>
      <c r="L1705" s="5">
        <v>19200</v>
      </c>
    </row>
    <row r="1706" spans="1:12" x14ac:dyDescent="0.25">
      <c r="A1706" s="3" t="s">
        <v>1057</v>
      </c>
      <c r="B1706" s="4" t="s">
        <v>5309</v>
      </c>
      <c r="C1706" s="4" t="s">
        <v>14</v>
      </c>
      <c r="D1706" s="4" t="s">
        <v>15</v>
      </c>
      <c r="E1706" s="5" t="str">
        <f>"9051341"</f>
        <v>9051341</v>
      </c>
      <c r="F1706" s="3" t="s">
        <v>5387</v>
      </c>
      <c r="G1706" s="5">
        <v>2105575800</v>
      </c>
      <c r="H1706" s="4" t="s">
        <v>5388</v>
      </c>
      <c r="I1706" s="4" t="s">
        <v>5334</v>
      </c>
      <c r="J1706" s="4" t="s">
        <v>5389</v>
      </c>
      <c r="K1706" s="4" t="s">
        <v>5390</v>
      </c>
      <c r="L1706" s="5">
        <v>19300</v>
      </c>
    </row>
    <row r="1707" spans="1:12" x14ac:dyDescent="0.25">
      <c r="A1707" s="3" t="s">
        <v>1057</v>
      </c>
      <c r="B1707" s="4" t="s">
        <v>5309</v>
      </c>
      <c r="C1707" s="4" t="s">
        <v>25</v>
      </c>
      <c r="D1707" s="4" t="s">
        <v>26</v>
      </c>
      <c r="E1707" s="5" t="str">
        <f>"9051783"</f>
        <v>9051783</v>
      </c>
      <c r="F1707" s="3" t="s">
        <v>5391</v>
      </c>
      <c r="G1707" s="5">
        <v>2102482980</v>
      </c>
      <c r="H1707" s="4" t="s">
        <v>5392</v>
      </c>
      <c r="I1707" s="4" t="s">
        <v>5342</v>
      </c>
      <c r="J1707" s="4" t="s">
        <v>5393</v>
      </c>
      <c r="K1707" s="4" t="s">
        <v>5394</v>
      </c>
      <c r="L1707" s="5">
        <v>13461</v>
      </c>
    </row>
    <row r="1708" spans="1:12" x14ac:dyDescent="0.25">
      <c r="A1708" s="3" t="s">
        <v>1057</v>
      </c>
      <c r="B1708" s="4" t="s">
        <v>5309</v>
      </c>
      <c r="C1708" s="4" t="s">
        <v>14</v>
      </c>
      <c r="D1708" s="4" t="s">
        <v>15</v>
      </c>
      <c r="E1708" s="5" t="str">
        <f>"9050640"</f>
        <v>9050640</v>
      </c>
      <c r="F1708" s="3" t="s">
        <v>5395</v>
      </c>
      <c r="G1708" s="5">
        <v>2296029249</v>
      </c>
      <c r="H1708" s="4" t="s">
        <v>5396</v>
      </c>
      <c r="I1708" s="4" t="s">
        <v>5320</v>
      </c>
      <c r="J1708" s="4" t="s">
        <v>5321</v>
      </c>
      <c r="K1708" s="4" t="s">
        <v>5397</v>
      </c>
      <c r="L1708" s="5">
        <v>19100</v>
      </c>
    </row>
    <row r="1709" spans="1:12" x14ac:dyDescent="0.25">
      <c r="A1709" s="3" t="s">
        <v>1057</v>
      </c>
      <c r="B1709" s="4" t="s">
        <v>5309</v>
      </c>
      <c r="C1709" s="4" t="s">
        <v>14</v>
      </c>
      <c r="D1709" s="4" t="s">
        <v>15</v>
      </c>
      <c r="E1709" s="5" t="str">
        <f>"9050618"</f>
        <v>9050618</v>
      </c>
      <c r="F1709" s="3" t="s">
        <v>5398</v>
      </c>
      <c r="G1709" s="5">
        <v>2105573597</v>
      </c>
      <c r="H1709" s="4" t="s">
        <v>5399</v>
      </c>
      <c r="I1709" s="4" t="s">
        <v>5334</v>
      </c>
      <c r="J1709" s="4" t="s">
        <v>5335</v>
      </c>
      <c r="K1709" s="4" t="s">
        <v>5400</v>
      </c>
      <c r="L1709" s="5">
        <v>19300</v>
      </c>
    </row>
    <row r="1710" spans="1:12" x14ac:dyDescent="0.25">
      <c r="A1710" s="3" t="s">
        <v>1057</v>
      </c>
      <c r="B1710" s="4" t="s">
        <v>5309</v>
      </c>
      <c r="C1710" s="4" t="s">
        <v>14</v>
      </c>
      <c r="D1710" s="4" t="s">
        <v>15</v>
      </c>
      <c r="E1710" s="5" t="str">
        <f>"9050636"</f>
        <v>9050636</v>
      </c>
      <c r="F1710" s="3" t="s">
        <v>5401</v>
      </c>
      <c r="G1710" s="5">
        <v>2105555433</v>
      </c>
      <c r="H1710" s="4" t="s">
        <v>5402</v>
      </c>
      <c r="I1710" s="4" t="s">
        <v>5329</v>
      </c>
      <c r="J1710" s="4" t="s">
        <v>5330</v>
      </c>
      <c r="K1710" s="4" t="s">
        <v>5403</v>
      </c>
      <c r="L1710" s="5">
        <v>19600</v>
      </c>
    </row>
    <row r="1711" spans="1:12" x14ac:dyDescent="0.25">
      <c r="A1711" s="3" t="s">
        <v>1057</v>
      </c>
      <c r="B1711" s="4" t="s">
        <v>5309</v>
      </c>
      <c r="C1711" s="4" t="s">
        <v>14</v>
      </c>
      <c r="D1711" s="4" t="s">
        <v>15</v>
      </c>
      <c r="E1711" s="5" t="str">
        <f>"9051900"</f>
        <v>9051900</v>
      </c>
      <c r="F1711" s="3" t="s">
        <v>5404</v>
      </c>
      <c r="G1711" s="5">
        <v>2263062346</v>
      </c>
      <c r="H1711" s="4" t="s">
        <v>5405</v>
      </c>
      <c r="I1711" s="4" t="s">
        <v>5329</v>
      </c>
      <c r="J1711" s="4" t="s">
        <v>5406</v>
      </c>
      <c r="K1711" s="4" t="s">
        <v>5407</v>
      </c>
      <c r="L1711" s="5">
        <v>19008</v>
      </c>
    </row>
    <row r="1712" spans="1:12" x14ac:dyDescent="0.25">
      <c r="A1712" s="3" t="s">
        <v>1057</v>
      </c>
      <c r="B1712" s="4" t="s">
        <v>5309</v>
      </c>
      <c r="C1712" s="4" t="s">
        <v>14</v>
      </c>
      <c r="D1712" s="4" t="s">
        <v>15</v>
      </c>
      <c r="E1712" s="5" t="str">
        <f>"9050650"</f>
        <v>9050650</v>
      </c>
      <c r="F1712" s="3" t="s">
        <v>5408</v>
      </c>
      <c r="G1712" s="5">
        <v>2296083346</v>
      </c>
      <c r="H1712" s="4" t="s">
        <v>5409</v>
      </c>
      <c r="I1712" s="4" t="s">
        <v>5320</v>
      </c>
      <c r="J1712" s="4" t="s">
        <v>5321</v>
      </c>
      <c r="K1712" s="4" t="s">
        <v>5410</v>
      </c>
      <c r="L1712" s="5">
        <v>19100</v>
      </c>
    </row>
    <row r="1713" spans="1:12" x14ac:dyDescent="0.25">
      <c r="A1713" s="3" t="s">
        <v>1057</v>
      </c>
      <c r="B1713" s="4" t="s">
        <v>5309</v>
      </c>
      <c r="C1713" s="4" t="s">
        <v>14</v>
      </c>
      <c r="D1713" s="4" t="s">
        <v>15</v>
      </c>
      <c r="E1713" s="5" t="str">
        <f>"9050613"</f>
        <v>9050613</v>
      </c>
      <c r="F1713" s="3" t="s">
        <v>5411</v>
      </c>
      <c r="G1713" s="5">
        <v>2105572620</v>
      </c>
      <c r="H1713" s="4" t="s">
        <v>5412</v>
      </c>
      <c r="I1713" s="4" t="s">
        <v>5334</v>
      </c>
      <c r="J1713" s="4" t="s">
        <v>5335</v>
      </c>
      <c r="K1713" s="4" t="s">
        <v>5413</v>
      </c>
      <c r="L1713" s="5">
        <v>19300</v>
      </c>
    </row>
    <row r="1714" spans="1:12" x14ac:dyDescent="0.25">
      <c r="A1714" s="3" t="s">
        <v>1057</v>
      </c>
      <c r="B1714" s="4" t="s">
        <v>5309</v>
      </c>
      <c r="C1714" s="4" t="s">
        <v>14</v>
      </c>
      <c r="D1714" s="4" t="s">
        <v>15</v>
      </c>
      <c r="E1714" s="5" t="str">
        <f>"9050616"</f>
        <v>9050616</v>
      </c>
      <c r="F1714" s="3" t="s">
        <v>5414</v>
      </c>
      <c r="G1714" s="5">
        <v>2105590089</v>
      </c>
      <c r="H1714" s="4" t="s">
        <v>5415</v>
      </c>
      <c r="I1714" s="4" t="s">
        <v>5334</v>
      </c>
      <c r="J1714" s="4" t="s">
        <v>5335</v>
      </c>
      <c r="K1714" s="4" t="s">
        <v>5416</v>
      </c>
      <c r="L1714" s="5">
        <v>19300</v>
      </c>
    </row>
    <row r="1715" spans="1:12" x14ac:dyDescent="0.25">
      <c r="A1715" s="3" t="s">
        <v>1057</v>
      </c>
      <c r="B1715" s="4" t="s">
        <v>5309</v>
      </c>
      <c r="C1715" s="4" t="s">
        <v>14</v>
      </c>
      <c r="D1715" s="4" t="s">
        <v>15</v>
      </c>
      <c r="E1715" s="5" t="str">
        <f>"9050630"</f>
        <v>9050630</v>
      </c>
      <c r="F1715" s="3" t="s">
        <v>5417</v>
      </c>
      <c r="G1715" s="5">
        <v>2105546294</v>
      </c>
      <c r="H1715" s="4" t="s">
        <v>5418</v>
      </c>
      <c r="I1715" s="4" t="s">
        <v>5329</v>
      </c>
      <c r="J1715" s="4" t="s">
        <v>5330</v>
      </c>
      <c r="K1715" s="4" t="s">
        <v>5419</v>
      </c>
      <c r="L1715" s="5">
        <v>19600</v>
      </c>
    </row>
    <row r="1716" spans="1:12" x14ac:dyDescent="0.25">
      <c r="A1716" s="3" t="s">
        <v>1057</v>
      </c>
      <c r="B1716" s="4" t="s">
        <v>5309</v>
      </c>
      <c r="C1716" s="4" t="s">
        <v>14</v>
      </c>
      <c r="D1716" s="4" t="s">
        <v>15</v>
      </c>
      <c r="E1716" s="5" t="str">
        <f>"9051148"</f>
        <v>9051148</v>
      </c>
      <c r="F1716" s="3" t="s">
        <v>5420</v>
      </c>
      <c r="G1716" s="5">
        <v>2102471245</v>
      </c>
      <c r="H1716" s="4" t="s">
        <v>5421</v>
      </c>
      <c r="I1716" s="4" t="s">
        <v>5342</v>
      </c>
      <c r="J1716" s="4" t="s">
        <v>5343</v>
      </c>
      <c r="K1716" s="4" t="s">
        <v>5422</v>
      </c>
      <c r="L1716" s="5">
        <v>13341</v>
      </c>
    </row>
    <row r="1717" spans="1:12" x14ac:dyDescent="0.25">
      <c r="A1717" s="3" t="s">
        <v>1057</v>
      </c>
      <c r="B1717" s="4" t="s">
        <v>5309</v>
      </c>
      <c r="C1717" s="4" t="s">
        <v>14</v>
      </c>
      <c r="D1717" s="4" t="s">
        <v>15</v>
      </c>
      <c r="E1717" s="5" t="str">
        <f>"9050257"</f>
        <v>9050257</v>
      </c>
      <c r="F1717" s="3" t="s">
        <v>5423</v>
      </c>
      <c r="G1717" s="5">
        <v>2102318888</v>
      </c>
      <c r="H1717" s="4" t="s">
        <v>5424</v>
      </c>
      <c r="I1717" s="4" t="s">
        <v>5342</v>
      </c>
      <c r="J1717" s="4" t="s">
        <v>5393</v>
      </c>
      <c r="K1717" s="4" t="s">
        <v>5425</v>
      </c>
      <c r="L1717" s="5">
        <v>13461</v>
      </c>
    </row>
    <row r="1718" spans="1:12" x14ac:dyDescent="0.25">
      <c r="A1718" s="3" t="s">
        <v>1057</v>
      </c>
      <c r="B1718" s="4" t="s">
        <v>5309</v>
      </c>
      <c r="C1718" s="4" t="s">
        <v>25</v>
      </c>
      <c r="D1718" s="4" t="s">
        <v>26</v>
      </c>
      <c r="E1718" s="5" t="str">
        <f>"9051070"</f>
        <v>9051070</v>
      </c>
      <c r="F1718" s="3" t="s">
        <v>5426</v>
      </c>
      <c r="G1718" s="5">
        <v>2105547879</v>
      </c>
      <c r="H1718" s="4" t="s">
        <v>5427</v>
      </c>
      <c r="I1718" s="4" t="s">
        <v>5312</v>
      </c>
      <c r="J1718" s="4" t="s">
        <v>5312</v>
      </c>
      <c r="K1718" s="4" t="s">
        <v>5428</v>
      </c>
      <c r="L1718" s="5">
        <v>19200</v>
      </c>
    </row>
    <row r="1719" spans="1:12" x14ac:dyDescent="0.25">
      <c r="A1719" s="3" t="s">
        <v>1057</v>
      </c>
      <c r="B1719" s="4" t="s">
        <v>5309</v>
      </c>
      <c r="C1719" s="4" t="s">
        <v>25</v>
      </c>
      <c r="D1719" s="4" t="s">
        <v>26</v>
      </c>
      <c r="E1719" s="5" t="str">
        <f>"9051634"</f>
        <v>9051634</v>
      </c>
      <c r="F1719" s="3" t="s">
        <v>5429</v>
      </c>
      <c r="G1719" s="5">
        <v>2105590119</v>
      </c>
      <c r="H1719" s="4" t="s">
        <v>5430</v>
      </c>
      <c r="I1719" s="4" t="s">
        <v>5334</v>
      </c>
      <c r="J1719" s="4" t="s">
        <v>5335</v>
      </c>
      <c r="K1719" s="4" t="s">
        <v>5431</v>
      </c>
      <c r="L1719" s="5">
        <v>19300</v>
      </c>
    </row>
    <row r="1720" spans="1:12" x14ac:dyDescent="0.25">
      <c r="A1720" s="3" t="s">
        <v>1057</v>
      </c>
      <c r="B1720" s="4" t="s">
        <v>5309</v>
      </c>
      <c r="C1720" s="4" t="s">
        <v>14</v>
      </c>
      <c r="D1720" s="4" t="s">
        <v>15</v>
      </c>
      <c r="E1720" s="5" t="str">
        <f>"9050638"</f>
        <v>9050638</v>
      </c>
      <c r="F1720" s="3" t="s">
        <v>5432</v>
      </c>
      <c r="G1720" s="5">
        <v>2105555652</v>
      </c>
      <c r="H1720" s="4" t="s">
        <v>5433</v>
      </c>
      <c r="I1720" s="4" t="s">
        <v>5329</v>
      </c>
      <c r="J1720" s="4" t="s">
        <v>5330</v>
      </c>
      <c r="K1720" s="4" t="s">
        <v>5434</v>
      </c>
      <c r="L1720" s="5">
        <v>19600</v>
      </c>
    </row>
    <row r="1721" spans="1:12" ht="30" x14ac:dyDescent="0.25">
      <c r="A1721" s="3" t="s">
        <v>1057</v>
      </c>
      <c r="B1721" s="4" t="s">
        <v>5309</v>
      </c>
      <c r="C1721" s="4" t="s">
        <v>14</v>
      </c>
      <c r="D1721" s="4" t="s">
        <v>15</v>
      </c>
      <c r="E1721" s="5" t="str">
        <f>"9050631"</f>
        <v>9050631</v>
      </c>
      <c r="F1721" s="3" t="s">
        <v>5435</v>
      </c>
      <c r="G1721" s="5">
        <v>2105546147</v>
      </c>
      <c r="H1721" s="4" t="s">
        <v>5436</v>
      </c>
      <c r="I1721" s="4" t="s">
        <v>5312</v>
      </c>
      <c r="J1721" s="4" t="s">
        <v>5376</v>
      </c>
      <c r="K1721" s="4" t="s">
        <v>5437</v>
      </c>
      <c r="L1721" s="5">
        <v>19200</v>
      </c>
    </row>
    <row r="1722" spans="1:12" x14ac:dyDescent="0.25">
      <c r="A1722" s="3" t="s">
        <v>1057</v>
      </c>
      <c r="B1722" s="4" t="s">
        <v>5309</v>
      </c>
      <c r="C1722" s="4" t="s">
        <v>25</v>
      </c>
      <c r="D1722" s="4" t="s">
        <v>26</v>
      </c>
      <c r="E1722" s="5" t="str">
        <f>"9051067"</f>
        <v>9051067</v>
      </c>
      <c r="F1722" s="3" t="s">
        <v>5438</v>
      </c>
      <c r="G1722" s="5">
        <v>2102470575</v>
      </c>
      <c r="H1722" s="4" t="s">
        <v>5439</v>
      </c>
      <c r="I1722" s="4" t="s">
        <v>5342</v>
      </c>
      <c r="J1722" s="4" t="s">
        <v>5350</v>
      </c>
      <c r="K1722" s="4" t="s">
        <v>5440</v>
      </c>
      <c r="L1722" s="5">
        <v>13341</v>
      </c>
    </row>
    <row r="1723" spans="1:12" x14ac:dyDescent="0.25">
      <c r="A1723" s="3" t="s">
        <v>1057</v>
      </c>
      <c r="B1723" s="4" t="s">
        <v>5309</v>
      </c>
      <c r="C1723" s="4" t="s">
        <v>25</v>
      </c>
      <c r="D1723" s="4" t="s">
        <v>26</v>
      </c>
      <c r="E1723" s="5" t="str">
        <f>"9051882"</f>
        <v>9051882</v>
      </c>
      <c r="F1723" s="3" t="s">
        <v>5441</v>
      </c>
      <c r="G1723" s="5">
        <v>2105584308</v>
      </c>
      <c r="H1723" s="4" t="s">
        <v>5442</v>
      </c>
      <c r="I1723" s="4" t="s">
        <v>5334</v>
      </c>
      <c r="J1723" s="4" t="s">
        <v>5335</v>
      </c>
      <c r="K1723" s="4" t="s">
        <v>5443</v>
      </c>
      <c r="L1723" s="5">
        <v>19300</v>
      </c>
    </row>
    <row r="1724" spans="1:12" x14ac:dyDescent="0.25">
      <c r="A1724" s="3" t="s">
        <v>1057</v>
      </c>
      <c r="B1724" s="4" t="s">
        <v>5309</v>
      </c>
      <c r="C1724" s="4" t="s">
        <v>14</v>
      </c>
      <c r="D1724" s="4" t="s">
        <v>15</v>
      </c>
      <c r="E1724" s="5" t="str">
        <f>"9051780"</f>
        <v>9051780</v>
      </c>
      <c r="F1724" s="3" t="s">
        <v>5444</v>
      </c>
      <c r="G1724" s="5">
        <v>2105547810</v>
      </c>
      <c r="H1724" s="4" t="s">
        <v>5445</v>
      </c>
      <c r="I1724" s="4" t="s">
        <v>5312</v>
      </c>
      <c r="J1724" s="4" t="s">
        <v>5376</v>
      </c>
      <c r="K1724" s="4" t="s">
        <v>5446</v>
      </c>
      <c r="L1724" s="5">
        <v>19200</v>
      </c>
    </row>
    <row r="1725" spans="1:12" x14ac:dyDescent="0.25">
      <c r="A1725" s="3" t="s">
        <v>1057</v>
      </c>
      <c r="B1725" s="4" t="s">
        <v>5309</v>
      </c>
      <c r="C1725" s="4" t="s">
        <v>25</v>
      </c>
      <c r="D1725" s="4" t="s">
        <v>26</v>
      </c>
      <c r="E1725" s="5" t="str">
        <f>"9051517"</f>
        <v>9051517</v>
      </c>
      <c r="F1725" s="3" t="s">
        <v>5447</v>
      </c>
      <c r="G1725" s="5">
        <v>2102474655</v>
      </c>
      <c r="H1725" s="4" t="s">
        <v>5448</v>
      </c>
      <c r="I1725" s="4" t="s">
        <v>5342</v>
      </c>
      <c r="J1725" s="4" t="s">
        <v>5343</v>
      </c>
      <c r="K1725" s="4" t="s">
        <v>5449</v>
      </c>
      <c r="L1725" s="5">
        <v>13341</v>
      </c>
    </row>
    <row r="1726" spans="1:12" x14ac:dyDescent="0.25">
      <c r="A1726" s="3" t="s">
        <v>1057</v>
      </c>
      <c r="B1726" s="4" t="s">
        <v>5309</v>
      </c>
      <c r="C1726" s="4" t="s">
        <v>25</v>
      </c>
      <c r="D1726" s="4" t="s">
        <v>26</v>
      </c>
      <c r="E1726" s="5" t="str">
        <f>"9051806"</f>
        <v>9051806</v>
      </c>
      <c r="F1726" s="3" t="s">
        <v>5450</v>
      </c>
      <c r="G1726" s="5">
        <v>2102474655</v>
      </c>
      <c r="H1726" s="4" t="s">
        <v>5451</v>
      </c>
      <c r="I1726" s="4" t="s">
        <v>5342</v>
      </c>
      <c r="J1726" s="4" t="s">
        <v>5343</v>
      </c>
      <c r="K1726" s="4" t="s">
        <v>5449</v>
      </c>
      <c r="L1726" s="5">
        <v>13341</v>
      </c>
    </row>
    <row r="1727" spans="1:12" x14ac:dyDescent="0.25">
      <c r="A1727" s="3" t="s">
        <v>1057</v>
      </c>
      <c r="B1727" s="4" t="s">
        <v>5309</v>
      </c>
      <c r="C1727" s="4" t="s">
        <v>25</v>
      </c>
      <c r="D1727" s="4" t="s">
        <v>26</v>
      </c>
      <c r="E1727" s="5" t="str">
        <f>"9051564"</f>
        <v>9051564</v>
      </c>
      <c r="F1727" s="3" t="s">
        <v>5452</v>
      </c>
      <c r="G1727" s="5">
        <v>2105599983</v>
      </c>
      <c r="H1727" s="4" t="s">
        <v>5453</v>
      </c>
      <c r="I1727" s="4" t="s">
        <v>5334</v>
      </c>
      <c r="J1727" s="4" t="s">
        <v>5334</v>
      </c>
      <c r="K1727" s="4" t="s">
        <v>5454</v>
      </c>
      <c r="L1727" s="5">
        <v>19300</v>
      </c>
    </row>
    <row r="1728" spans="1:12" x14ac:dyDescent="0.25">
      <c r="A1728" s="3" t="s">
        <v>1057</v>
      </c>
      <c r="B1728" s="4" t="s">
        <v>5309</v>
      </c>
      <c r="C1728" s="4" t="s">
        <v>25</v>
      </c>
      <c r="D1728" s="4" t="s">
        <v>26</v>
      </c>
      <c r="E1728" s="5" t="str">
        <f>"9050800"</f>
        <v>9050800</v>
      </c>
      <c r="F1728" s="3" t="s">
        <v>5455</v>
      </c>
      <c r="G1728" s="5">
        <v>2105546553</v>
      </c>
      <c r="H1728" s="4" t="s">
        <v>5456</v>
      </c>
      <c r="I1728" s="4" t="s">
        <v>5312</v>
      </c>
      <c r="J1728" s="4" t="s">
        <v>5312</v>
      </c>
      <c r="K1728" s="4" t="s">
        <v>5457</v>
      </c>
      <c r="L1728" s="5">
        <v>19200</v>
      </c>
    </row>
    <row r="1729" spans="1:12" x14ac:dyDescent="0.25">
      <c r="A1729" s="3" t="s">
        <v>1057</v>
      </c>
      <c r="B1729" s="4" t="s">
        <v>5309</v>
      </c>
      <c r="C1729" s="4" t="s">
        <v>14</v>
      </c>
      <c r="D1729" s="4" t="s">
        <v>15</v>
      </c>
      <c r="E1729" s="5" t="str">
        <f>"9051804"</f>
        <v>9051804</v>
      </c>
      <c r="F1729" s="3" t="s">
        <v>5458</v>
      </c>
      <c r="G1729" s="5">
        <v>2296032147</v>
      </c>
      <c r="H1729" s="4" t="s">
        <v>5459</v>
      </c>
      <c r="I1729" s="4" t="s">
        <v>5320</v>
      </c>
      <c r="J1729" s="4" t="s">
        <v>5460</v>
      </c>
      <c r="K1729" s="4" t="s">
        <v>5461</v>
      </c>
      <c r="L1729" s="5">
        <v>19006</v>
      </c>
    </row>
    <row r="1730" spans="1:12" x14ac:dyDescent="0.25">
      <c r="A1730" s="3" t="s">
        <v>1057</v>
      </c>
      <c r="B1730" s="4" t="s">
        <v>5309</v>
      </c>
      <c r="C1730" s="4" t="s">
        <v>25</v>
      </c>
      <c r="D1730" s="4" t="s">
        <v>26</v>
      </c>
      <c r="E1730" s="5" t="str">
        <f>"9051881"</f>
        <v>9051881</v>
      </c>
      <c r="F1730" s="3" t="s">
        <v>5462</v>
      </c>
      <c r="G1730" s="5">
        <v>2105598849</v>
      </c>
      <c r="H1730" s="4" t="s">
        <v>5463</v>
      </c>
      <c r="I1730" s="4" t="s">
        <v>5334</v>
      </c>
      <c r="J1730" s="4" t="s">
        <v>5335</v>
      </c>
      <c r="K1730" s="4" t="s">
        <v>5464</v>
      </c>
      <c r="L1730" s="5">
        <v>19300</v>
      </c>
    </row>
    <row r="1731" spans="1:12" x14ac:dyDescent="0.25">
      <c r="A1731" s="3" t="s">
        <v>1057</v>
      </c>
      <c r="B1731" s="4" t="s">
        <v>5309</v>
      </c>
      <c r="C1731" s="4" t="s">
        <v>14</v>
      </c>
      <c r="D1731" s="4" t="s">
        <v>15</v>
      </c>
      <c r="E1731" s="5" t="str">
        <f>"9051150"</f>
        <v>9051150</v>
      </c>
      <c r="F1731" s="3" t="s">
        <v>5465</v>
      </c>
      <c r="G1731" s="5">
        <v>2102473400</v>
      </c>
      <c r="H1731" s="4" t="s">
        <v>5466</v>
      </c>
      <c r="I1731" s="4" t="s">
        <v>5342</v>
      </c>
      <c r="J1731" s="4" t="s">
        <v>5393</v>
      </c>
      <c r="K1731" s="4" t="s">
        <v>5467</v>
      </c>
      <c r="L1731" s="5">
        <v>13461</v>
      </c>
    </row>
    <row r="1732" spans="1:12" x14ac:dyDescent="0.25">
      <c r="A1732" s="3" t="s">
        <v>1057</v>
      </c>
      <c r="B1732" s="4" t="s">
        <v>5309</v>
      </c>
      <c r="C1732" s="4" t="s">
        <v>25</v>
      </c>
      <c r="D1732" s="4" t="s">
        <v>26</v>
      </c>
      <c r="E1732" s="5" t="str">
        <f>"9050242"</f>
        <v>9050242</v>
      </c>
      <c r="F1732" s="3" t="s">
        <v>5468</v>
      </c>
      <c r="G1732" s="5">
        <v>2102314040</v>
      </c>
      <c r="H1732" s="4" t="s">
        <v>5469</v>
      </c>
      <c r="I1732" s="4" t="s">
        <v>5342</v>
      </c>
      <c r="J1732" s="4" t="s">
        <v>5393</v>
      </c>
      <c r="K1732" s="4" t="s">
        <v>5470</v>
      </c>
      <c r="L1732" s="5">
        <v>13461</v>
      </c>
    </row>
    <row r="1733" spans="1:12" x14ac:dyDescent="0.25">
      <c r="A1733" s="3" t="s">
        <v>1057</v>
      </c>
      <c r="B1733" s="4" t="s">
        <v>5309</v>
      </c>
      <c r="C1733" s="4" t="s">
        <v>14</v>
      </c>
      <c r="D1733" s="4" t="s">
        <v>15</v>
      </c>
      <c r="E1733" s="5" t="str">
        <f>"9050619"</f>
        <v>9050619</v>
      </c>
      <c r="F1733" s="3" t="s">
        <v>5471</v>
      </c>
      <c r="G1733" s="5">
        <v>2263022482</v>
      </c>
      <c r="H1733" s="4" t="s">
        <v>5472</v>
      </c>
      <c r="I1733" s="4" t="s">
        <v>5329</v>
      </c>
      <c r="J1733" s="4" t="s">
        <v>5473</v>
      </c>
      <c r="K1733" s="4" t="s">
        <v>5474</v>
      </c>
      <c r="L1733" s="5">
        <v>19012</v>
      </c>
    </row>
    <row r="1734" spans="1:12" x14ac:dyDescent="0.25">
      <c r="A1734" s="3" t="s">
        <v>1057</v>
      </c>
      <c r="B1734" s="4" t="s">
        <v>5309</v>
      </c>
      <c r="C1734" s="4" t="s">
        <v>14</v>
      </c>
      <c r="D1734" s="4" t="s">
        <v>15</v>
      </c>
      <c r="E1734" s="5" t="str">
        <f>"9051778"</f>
        <v>9051778</v>
      </c>
      <c r="F1734" s="3" t="s">
        <v>5475</v>
      </c>
      <c r="G1734" s="5">
        <v>2102310190</v>
      </c>
      <c r="H1734" s="4" t="s">
        <v>5476</v>
      </c>
      <c r="I1734" s="4" t="s">
        <v>5342</v>
      </c>
      <c r="J1734" s="4" t="s">
        <v>5393</v>
      </c>
      <c r="K1734" s="4" t="s">
        <v>5477</v>
      </c>
      <c r="L1734" s="5">
        <v>13461</v>
      </c>
    </row>
    <row r="1735" spans="1:12" x14ac:dyDescent="0.25">
      <c r="A1735" s="3" t="s">
        <v>1057</v>
      </c>
      <c r="B1735" s="4" t="s">
        <v>5309</v>
      </c>
      <c r="C1735" s="4" t="s">
        <v>14</v>
      </c>
      <c r="D1735" s="4" t="s">
        <v>15</v>
      </c>
      <c r="E1735" s="5" t="str">
        <f>"9050296"</f>
        <v>9050296</v>
      </c>
      <c r="F1735" s="3" t="s">
        <v>5478</v>
      </c>
      <c r="G1735" s="5">
        <v>2102411169</v>
      </c>
      <c r="H1735" s="4" t="s">
        <v>5479</v>
      </c>
      <c r="I1735" s="4" t="s">
        <v>5342</v>
      </c>
      <c r="J1735" s="4" t="s">
        <v>5480</v>
      </c>
      <c r="K1735" s="4" t="s">
        <v>5481</v>
      </c>
      <c r="L1735" s="5">
        <v>13351</v>
      </c>
    </row>
    <row r="1736" spans="1:12" x14ac:dyDescent="0.25">
      <c r="A1736" s="3" t="s">
        <v>1057</v>
      </c>
      <c r="B1736" s="4" t="s">
        <v>5309</v>
      </c>
      <c r="C1736" s="4" t="s">
        <v>25</v>
      </c>
      <c r="D1736" s="4" t="s">
        <v>26</v>
      </c>
      <c r="E1736" s="5" t="str">
        <f>"9051883"</f>
        <v>9051883</v>
      </c>
      <c r="F1736" s="3" t="s">
        <v>5482</v>
      </c>
      <c r="G1736" s="5">
        <v>2105541625</v>
      </c>
      <c r="H1736" s="4" t="s">
        <v>5483</v>
      </c>
      <c r="I1736" s="4" t="s">
        <v>5312</v>
      </c>
      <c r="J1736" s="4" t="s">
        <v>5312</v>
      </c>
      <c r="K1736" s="4" t="s">
        <v>5484</v>
      </c>
      <c r="L1736" s="5">
        <v>19200</v>
      </c>
    </row>
    <row r="1737" spans="1:12" x14ac:dyDescent="0.25">
      <c r="A1737" s="3" t="s">
        <v>1057</v>
      </c>
      <c r="B1737" s="4" t="s">
        <v>5309</v>
      </c>
      <c r="C1737" s="4" t="s">
        <v>25</v>
      </c>
      <c r="D1737" s="4" t="s">
        <v>26</v>
      </c>
      <c r="E1737" s="5" t="str">
        <f>"9051808"</f>
        <v>9051808</v>
      </c>
      <c r="F1737" s="3" t="s">
        <v>5485</v>
      </c>
      <c r="G1737" s="5">
        <v>2105540796</v>
      </c>
      <c r="H1737" s="4" t="s">
        <v>5486</v>
      </c>
      <c r="I1737" s="4" t="s">
        <v>5312</v>
      </c>
      <c r="J1737" s="4" t="s">
        <v>5312</v>
      </c>
      <c r="K1737" s="4" t="s">
        <v>5487</v>
      </c>
      <c r="L1737" s="5">
        <v>19200</v>
      </c>
    </row>
    <row r="1738" spans="1:12" x14ac:dyDescent="0.25">
      <c r="A1738" s="3" t="s">
        <v>1057</v>
      </c>
      <c r="B1738" s="4" t="s">
        <v>5309</v>
      </c>
      <c r="C1738" s="4" t="s">
        <v>25</v>
      </c>
      <c r="D1738" s="4" t="s">
        <v>26</v>
      </c>
      <c r="E1738" s="5" t="str">
        <f>"9050657"</f>
        <v>9050657</v>
      </c>
      <c r="F1738" s="3" t="s">
        <v>5488</v>
      </c>
      <c r="G1738" s="5">
        <v>2263062287</v>
      </c>
      <c r="H1738" s="4" t="s">
        <v>5489</v>
      </c>
      <c r="I1738" s="4" t="s">
        <v>5329</v>
      </c>
      <c r="J1738" s="4" t="s">
        <v>5490</v>
      </c>
      <c r="K1738" s="4" t="s">
        <v>5491</v>
      </c>
      <c r="L1738" s="5">
        <v>19008</v>
      </c>
    </row>
    <row r="1739" spans="1:12" x14ac:dyDescent="0.25">
      <c r="A1739" s="3" t="s">
        <v>1057</v>
      </c>
      <c r="B1739" s="4" t="s">
        <v>5309</v>
      </c>
      <c r="C1739" s="4" t="s">
        <v>14</v>
      </c>
      <c r="D1739" s="4" t="s">
        <v>15</v>
      </c>
      <c r="E1739" s="5" t="str">
        <f>"9050632"</f>
        <v>9050632</v>
      </c>
      <c r="F1739" s="3" t="s">
        <v>5492</v>
      </c>
      <c r="G1739" s="5">
        <v>2105546785</v>
      </c>
      <c r="H1739" s="4" t="s">
        <v>5493</v>
      </c>
      <c r="I1739" s="4" t="s">
        <v>5312</v>
      </c>
      <c r="J1739" s="4" t="s">
        <v>5494</v>
      </c>
      <c r="K1739" s="4" t="s">
        <v>5495</v>
      </c>
      <c r="L1739" s="5">
        <v>19200</v>
      </c>
    </row>
    <row r="1740" spans="1:12" x14ac:dyDescent="0.25">
      <c r="A1740" s="3" t="s">
        <v>1057</v>
      </c>
      <c r="B1740" s="4" t="s">
        <v>5309</v>
      </c>
      <c r="C1740" s="4" t="s">
        <v>25</v>
      </c>
      <c r="D1740" s="4" t="s">
        <v>26</v>
      </c>
      <c r="E1740" s="5" t="str">
        <f>"9050635"</f>
        <v>9050635</v>
      </c>
      <c r="F1740" s="3" t="s">
        <v>5496</v>
      </c>
      <c r="G1740" s="5">
        <v>2105556730</v>
      </c>
      <c r="H1740" s="4" t="s">
        <v>5497</v>
      </c>
      <c r="I1740" s="4" t="s">
        <v>5329</v>
      </c>
      <c r="J1740" s="4" t="s">
        <v>5498</v>
      </c>
      <c r="K1740" s="4" t="s">
        <v>5499</v>
      </c>
      <c r="L1740" s="5">
        <v>19600</v>
      </c>
    </row>
    <row r="1741" spans="1:12" x14ac:dyDescent="0.25">
      <c r="A1741" s="3" t="s">
        <v>1057</v>
      </c>
      <c r="B1741" s="4" t="s">
        <v>5309</v>
      </c>
      <c r="C1741" s="4" t="s">
        <v>14</v>
      </c>
      <c r="D1741" s="4" t="s">
        <v>15</v>
      </c>
      <c r="E1741" s="5" t="str">
        <f>"9050628"</f>
        <v>9050628</v>
      </c>
      <c r="F1741" s="3" t="s">
        <v>5500</v>
      </c>
      <c r="G1741" s="5">
        <v>2105546265</v>
      </c>
      <c r="H1741" s="4" t="s">
        <v>5501</v>
      </c>
      <c r="I1741" s="4" t="s">
        <v>5312</v>
      </c>
      <c r="J1741" s="4" t="s">
        <v>5376</v>
      </c>
      <c r="K1741" s="4" t="s">
        <v>5457</v>
      </c>
      <c r="L1741" s="5">
        <v>19200</v>
      </c>
    </row>
    <row r="1742" spans="1:12" x14ac:dyDescent="0.25">
      <c r="A1742" s="3" t="s">
        <v>1057</v>
      </c>
      <c r="B1742" s="4" t="s">
        <v>5309</v>
      </c>
      <c r="C1742" s="4" t="s">
        <v>14</v>
      </c>
      <c r="D1742" s="4" t="s">
        <v>15</v>
      </c>
      <c r="E1742" s="5" t="str">
        <f>"9050654"</f>
        <v>9050654</v>
      </c>
      <c r="F1742" s="3" t="s">
        <v>5502</v>
      </c>
      <c r="G1742" s="5">
        <v>2296033195</v>
      </c>
      <c r="H1742" s="4" t="s">
        <v>5503</v>
      </c>
      <c r="I1742" s="4" t="s">
        <v>5320</v>
      </c>
      <c r="J1742" s="4" t="s">
        <v>5357</v>
      </c>
      <c r="K1742" s="4" t="s">
        <v>5504</v>
      </c>
      <c r="L1742" s="5">
        <v>19006</v>
      </c>
    </row>
    <row r="1743" spans="1:12" x14ac:dyDescent="0.25">
      <c r="A1743" s="3" t="s">
        <v>1057</v>
      </c>
      <c r="B1743" s="4" t="s">
        <v>5309</v>
      </c>
      <c r="C1743" s="4" t="s">
        <v>25</v>
      </c>
      <c r="D1743" s="4" t="s">
        <v>26</v>
      </c>
      <c r="E1743" s="5" t="str">
        <f>"9050622"</f>
        <v>9050622</v>
      </c>
      <c r="F1743" s="3" t="s">
        <v>5505</v>
      </c>
      <c r="G1743" s="5">
        <v>2105541901</v>
      </c>
      <c r="H1743" s="4" t="s">
        <v>5506</v>
      </c>
      <c r="I1743" s="4" t="s">
        <v>5329</v>
      </c>
      <c r="J1743" s="4" t="s">
        <v>5498</v>
      </c>
      <c r="K1743" s="4" t="s">
        <v>5507</v>
      </c>
      <c r="L1743" s="5">
        <v>19600</v>
      </c>
    </row>
    <row r="1744" spans="1:12" x14ac:dyDescent="0.25">
      <c r="A1744" s="3" t="s">
        <v>1057</v>
      </c>
      <c r="B1744" s="4" t="s">
        <v>5309</v>
      </c>
      <c r="C1744" s="4" t="s">
        <v>25</v>
      </c>
      <c r="D1744" s="4" t="s">
        <v>26</v>
      </c>
      <c r="E1744" s="5" t="str">
        <f>"9051830"</f>
        <v>9051830</v>
      </c>
      <c r="F1744" s="3" t="s">
        <v>5508</v>
      </c>
      <c r="G1744" s="5">
        <v>2105555166</v>
      </c>
      <c r="H1744" s="4" t="s">
        <v>5509</v>
      </c>
      <c r="I1744" s="4" t="s">
        <v>5329</v>
      </c>
      <c r="J1744" s="4" t="s">
        <v>5498</v>
      </c>
      <c r="K1744" s="4" t="s">
        <v>5510</v>
      </c>
      <c r="L1744" s="5">
        <v>19600</v>
      </c>
    </row>
    <row r="1745" spans="1:12" x14ac:dyDescent="0.25">
      <c r="A1745" s="3" t="s">
        <v>1057</v>
      </c>
      <c r="B1745" s="4" t="s">
        <v>5309</v>
      </c>
      <c r="C1745" s="4" t="s">
        <v>14</v>
      </c>
      <c r="D1745" s="4" t="s">
        <v>15</v>
      </c>
      <c r="E1745" s="5" t="str">
        <f>"9051869"</f>
        <v>9051869</v>
      </c>
      <c r="F1745" s="3" t="s">
        <v>5511</v>
      </c>
      <c r="G1745" s="5">
        <v>2105570493</v>
      </c>
      <c r="H1745" s="4" t="s">
        <v>5512</v>
      </c>
      <c r="I1745" s="4" t="s">
        <v>5334</v>
      </c>
      <c r="J1745" s="4" t="s">
        <v>5335</v>
      </c>
      <c r="K1745" s="4" t="s">
        <v>5513</v>
      </c>
      <c r="L1745" s="5">
        <v>19300</v>
      </c>
    </row>
    <row r="1746" spans="1:12" x14ac:dyDescent="0.25">
      <c r="A1746" s="3" t="s">
        <v>1057</v>
      </c>
      <c r="B1746" s="4" t="s">
        <v>5309</v>
      </c>
      <c r="C1746" s="4" t="s">
        <v>25</v>
      </c>
      <c r="D1746" s="4" t="s">
        <v>26</v>
      </c>
      <c r="E1746" s="5" t="str">
        <f>"9050637"</f>
        <v>9050637</v>
      </c>
      <c r="F1746" s="3" t="s">
        <v>5514</v>
      </c>
      <c r="G1746" s="5">
        <v>2105558156</v>
      </c>
      <c r="H1746" s="4" t="s">
        <v>5515</v>
      </c>
      <c r="I1746" s="4" t="s">
        <v>5329</v>
      </c>
      <c r="J1746" s="4" t="s">
        <v>5498</v>
      </c>
      <c r="K1746" s="4" t="s">
        <v>5516</v>
      </c>
      <c r="L1746" s="5">
        <v>19600</v>
      </c>
    </row>
    <row r="1747" spans="1:12" x14ac:dyDescent="0.25">
      <c r="A1747" s="3" t="s">
        <v>1057</v>
      </c>
      <c r="B1747" s="4" t="s">
        <v>5309</v>
      </c>
      <c r="C1747" s="4" t="s">
        <v>25</v>
      </c>
      <c r="D1747" s="4" t="s">
        <v>26</v>
      </c>
      <c r="E1747" s="5" t="str">
        <f>"9050641"</f>
        <v>9050641</v>
      </c>
      <c r="F1747" s="3" t="s">
        <v>5517</v>
      </c>
      <c r="G1747" s="5">
        <v>2296023703</v>
      </c>
      <c r="H1747" s="4" t="s">
        <v>5518</v>
      </c>
      <c r="I1747" s="4" t="s">
        <v>5320</v>
      </c>
      <c r="J1747" s="4" t="s">
        <v>5519</v>
      </c>
      <c r="K1747" s="4" t="s">
        <v>5520</v>
      </c>
      <c r="L1747" s="5">
        <v>19100</v>
      </c>
    </row>
    <row r="1748" spans="1:12" x14ac:dyDescent="0.25">
      <c r="A1748" s="3" t="s">
        <v>1057</v>
      </c>
      <c r="B1748" s="4" t="s">
        <v>5309</v>
      </c>
      <c r="C1748" s="4" t="s">
        <v>25</v>
      </c>
      <c r="D1748" s="4" t="s">
        <v>26</v>
      </c>
      <c r="E1748" s="5" t="str">
        <f>"9050643"</f>
        <v>9050643</v>
      </c>
      <c r="F1748" s="3" t="s">
        <v>5521</v>
      </c>
      <c r="G1748" s="5">
        <v>2296029181</v>
      </c>
      <c r="H1748" s="4" t="s">
        <v>5522</v>
      </c>
      <c r="I1748" s="4" t="s">
        <v>5320</v>
      </c>
      <c r="J1748" s="4" t="s">
        <v>5321</v>
      </c>
      <c r="K1748" s="4" t="s">
        <v>5523</v>
      </c>
      <c r="L1748" s="5">
        <v>19100</v>
      </c>
    </row>
    <row r="1749" spans="1:12" x14ac:dyDescent="0.25">
      <c r="A1749" s="3" t="s">
        <v>1057</v>
      </c>
      <c r="B1749" s="4" t="s">
        <v>5309</v>
      </c>
      <c r="C1749" s="4" t="s">
        <v>25</v>
      </c>
      <c r="D1749" s="4" t="s">
        <v>26</v>
      </c>
      <c r="E1749" s="5" t="str">
        <f>"9050793"</f>
        <v>9050793</v>
      </c>
      <c r="F1749" s="3" t="s">
        <v>5524</v>
      </c>
      <c r="G1749" s="5">
        <v>2102474600</v>
      </c>
      <c r="H1749" s="4" t="s">
        <v>5525</v>
      </c>
      <c r="I1749" s="4" t="s">
        <v>5342</v>
      </c>
      <c r="J1749" s="4" t="s">
        <v>5526</v>
      </c>
      <c r="K1749" s="4" t="s">
        <v>5527</v>
      </c>
      <c r="L1749" s="5">
        <v>13451</v>
      </c>
    </row>
    <row r="1750" spans="1:12" x14ac:dyDescent="0.25">
      <c r="A1750" s="3" t="s">
        <v>1057</v>
      </c>
      <c r="B1750" s="4" t="s">
        <v>5309</v>
      </c>
      <c r="C1750" s="4" t="s">
        <v>25</v>
      </c>
      <c r="D1750" s="4" t="s">
        <v>26</v>
      </c>
      <c r="E1750" s="5" t="str">
        <f>"9050297"</f>
        <v>9050297</v>
      </c>
      <c r="F1750" s="3" t="s">
        <v>5528</v>
      </c>
      <c r="G1750" s="5">
        <v>2102411510</v>
      </c>
      <c r="H1750" s="4" t="s">
        <v>5529</v>
      </c>
      <c r="I1750" s="4" t="s">
        <v>5342</v>
      </c>
      <c r="J1750" s="4" t="s">
        <v>5480</v>
      </c>
      <c r="K1750" s="4" t="s">
        <v>5530</v>
      </c>
      <c r="L1750" s="5">
        <v>13351</v>
      </c>
    </row>
    <row r="1751" spans="1:12" x14ac:dyDescent="0.25">
      <c r="A1751" s="3" t="s">
        <v>1057</v>
      </c>
      <c r="B1751" s="4" t="s">
        <v>5309</v>
      </c>
      <c r="C1751" s="4" t="s">
        <v>25</v>
      </c>
      <c r="D1751" s="4" t="s">
        <v>26</v>
      </c>
      <c r="E1751" s="5" t="str">
        <f>"9051635"</f>
        <v>9051635</v>
      </c>
      <c r="F1751" s="3" t="s">
        <v>5531</v>
      </c>
      <c r="G1751" s="5">
        <v>2296082809</v>
      </c>
      <c r="H1751" s="4" t="s">
        <v>5532</v>
      </c>
      <c r="I1751" s="4" t="s">
        <v>5320</v>
      </c>
      <c r="J1751" s="4" t="s">
        <v>5321</v>
      </c>
      <c r="K1751" s="4" t="s">
        <v>5533</v>
      </c>
      <c r="L1751" s="5">
        <v>19100</v>
      </c>
    </row>
    <row r="1752" spans="1:12" x14ac:dyDescent="0.25">
      <c r="A1752" s="3" t="s">
        <v>1057</v>
      </c>
      <c r="B1752" s="4" t="s">
        <v>5309</v>
      </c>
      <c r="C1752" s="4" t="s">
        <v>14</v>
      </c>
      <c r="D1752" s="4" t="s">
        <v>15</v>
      </c>
      <c r="E1752" s="5" t="str">
        <f>"9050264"</f>
        <v>9050264</v>
      </c>
      <c r="F1752" s="3" t="s">
        <v>5534</v>
      </c>
      <c r="G1752" s="5">
        <v>2128098290</v>
      </c>
      <c r="H1752" s="4" t="s">
        <v>5535</v>
      </c>
      <c r="I1752" s="4" t="s">
        <v>5342</v>
      </c>
      <c r="J1752" s="4" t="s">
        <v>5343</v>
      </c>
      <c r="K1752" s="4" t="s">
        <v>5536</v>
      </c>
      <c r="L1752" s="5">
        <v>13341</v>
      </c>
    </row>
    <row r="1753" spans="1:12" x14ac:dyDescent="0.25">
      <c r="A1753" s="3" t="s">
        <v>1057</v>
      </c>
      <c r="B1753" s="4" t="s">
        <v>5309</v>
      </c>
      <c r="C1753" s="4" t="s">
        <v>25</v>
      </c>
      <c r="D1753" s="4" t="s">
        <v>26</v>
      </c>
      <c r="E1753" s="5" t="str">
        <f>"9050802"</f>
        <v>9050802</v>
      </c>
      <c r="F1753" s="3" t="s">
        <v>5537</v>
      </c>
      <c r="G1753" s="5">
        <v>2296026500</v>
      </c>
      <c r="H1753" s="4" t="s">
        <v>5538</v>
      </c>
      <c r="I1753" s="4" t="s">
        <v>5320</v>
      </c>
      <c r="J1753" s="4" t="s">
        <v>5519</v>
      </c>
      <c r="K1753" s="4" t="s">
        <v>5539</v>
      </c>
      <c r="L1753" s="5">
        <v>19100</v>
      </c>
    </row>
    <row r="1754" spans="1:12" x14ac:dyDescent="0.25">
      <c r="A1754" s="3" t="s">
        <v>1057</v>
      </c>
      <c r="B1754" s="4" t="s">
        <v>5309</v>
      </c>
      <c r="C1754" s="4" t="s">
        <v>14</v>
      </c>
      <c r="D1754" s="4" t="s">
        <v>15</v>
      </c>
      <c r="E1754" s="5" t="str">
        <f>"9050621"</f>
        <v>9050621</v>
      </c>
      <c r="F1754" s="3" t="s">
        <v>5540</v>
      </c>
      <c r="G1754" s="5">
        <v>2105546276</v>
      </c>
      <c r="H1754" s="4" t="s">
        <v>5541</v>
      </c>
      <c r="I1754" s="4" t="s">
        <v>5312</v>
      </c>
      <c r="J1754" s="4" t="s">
        <v>5376</v>
      </c>
      <c r="K1754" s="4" t="s">
        <v>5542</v>
      </c>
      <c r="L1754" s="5">
        <v>19200</v>
      </c>
    </row>
    <row r="1755" spans="1:12" x14ac:dyDescent="0.25">
      <c r="A1755" s="3" t="s">
        <v>1057</v>
      </c>
      <c r="B1755" s="4" t="s">
        <v>5309</v>
      </c>
      <c r="C1755" s="4" t="s">
        <v>25</v>
      </c>
      <c r="D1755" s="4" t="s">
        <v>26</v>
      </c>
      <c r="E1755" s="5" t="str">
        <f>"9050645"</f>
        <v>9050645</v>
      </c>
      <c r="F1755" s="3" t="s">
        <v>5543</v>
      </c>
      <c r="G1755" s="5">
        <v>2296024100</v>
      </c>
      <c r="H1755" s="4" t="s">
        <v>5544</v>
      </c>
      <c r="I1755" s="4" t="s">
        <v>5320</v>
      </c>
      <c r="J1755" s="4" t="s">
        <v>5519</v>
      </c>
      <c r="K1755" s="4" t="s">
        <v>5545</v>
      </c>
      <c r="L1755" s="5">
        <v>19100</v>
      </c>
    </row>
    <row r="1756" spans="1:12" x14ac:dyDescent="0.25">
      <c r="A1756" s="3" t="s">
        <v>1057</v>
      </c>
      <c r="B1756" s="4" t="s">
        <v>5309</v>
      </c>
      <c r="C1756" s="4" t="s">
        <v>25</v>
      </c>
      <c r="D1756" s="4" t="s">
        <v>26</v>
      </c>
      <c r="E1756" s="5" t="str">
        <f>"9050803"</f>
        <v>9050803</v>
      </c>
      <c r="F1756" s="3" t="s">
        <v>5546</v>
      </c>
      <c r="G1756" s="5">
        <v>2296025054</v>
      </c>
      <c r="H1756" s="4" t="s">
        <v>5547</v>
      </c>
      <c r="I1756" s="4" t="s">
        <v>5320</v>
      </c>
      <c r="J1756" s="4" t="s">
        <v>5519</v>
      </c>
      <c r="K1756" s="4" t="s">
        <v>5339</v>
      </c>
      <c r="L1756" s="5">
        <v>19100</v>
      </c>
    </row>
    <row r="1757" spans="1:12" x14ac:dyDescent="0.25">
      <c r="A1757" s="3" t="s">
        <v>1057</v>
      </c>
      <c r="B1757" s="4" t="s">
        <v>5309</v>
      </c>
      <c r="C1757" s="4" t="s">
        <v>14</v>
      </c>
      <c r="D1757" s="4" t="s">
        <v>15</v>
      </c>
      <c r="E1757" s="5" t="str">
        <f>"9050267"</f>
        <v>9050267</v>
      </c>
      <c r="F1757" s="3" t="s">
        <v>5548</v>
      </c>
      <c r="G1757" s="5">
        <v>2102473816</v>
      </c>
      <c r="H1757" s="4" t="s">
        <v>5549</v>
      </c>
      <c r="I1757" s="4" t="s">
        <v>5342</v>
      </c>
      <c r="J1757" s="4" t="s">
        <v>5550</v>
      </c>
      <c r="K1757" s="4" t="s">
        <v>5551</v>
      </c>
      <c r="L1757" s="5">
        <v>13341</v>
      </c>
    </row>
    <row r="1758" spans="1:12" x14ac:dyDescent="0.25">
      <c r="A1758" s="3" t="s">
        <v>1057</v>
      </c>
      <c r="B1758" s="4" t="s">
        <v>5309</v>
      </c>
      <c r="C1758" s="4" t="s">
        <v>25</v>
      </c>
      <c r="D1758" s="4" t="s">
        <v>26</v>
      </c>
      <c r="E1758" s="5" t="str">
        <f>"9050646"</f>
        <v>9050646</v>
      </c>
      <c r="F1758" s="3" t="s">
        <v>5552</v>
      </c>
      <c r="G1758" s="5">
        <v>2296083158</v>
      </c>
      <c r="H1758" s="4" t="s">
        <v>5553</v>
      </c>
      <c r="I1758" s="4" t="s">
        <v>5320</v>
      </c>
      <c r="J1758" s="4" t="s">
        <v>5519</v>
      </c>
      <c r="K1758" s="4" t="s">
        <v>5554</v>
      </c>
      <c r="L1758" s="5">
        <v>19100</v>
      </c>
    </row>
    <row r="1759" spans="1:12" x14ac:dyDescent="0.25">
      <c r="A1759" s="3" t="s">
        <v>1057</v>
      </c>
      <c r="B1759" s="4" t="s">
        <v>5309</v>
      </c>
      <c r="C1759" s="4" t="s">
        <v>25</v>
      </c>
      <c r="D1759" s="4" t="s">
        <v>26</v>
      </c>
      <c r="E1759" s="5" t="str">
        <f>"9050897"</f>
        <v>9050897</v>
      </c>
      <c r="F1759" s="3" t="s">
        <v>5555</v>
      </c>
      <c r="G1759" s="5">
        <v>2296083158</v>
      </c>
      <c r="H1759" s="4" t="s">
        <v>5556</v>
      </c>
      <c r="I1759" s="4" t="s">
        <v>5320</v>
      </c>
      <c r="J1759" s="4" t="s">
        <v>5519</v>
      </c>
      <c r="K1759" s="4" t="s">
        <v>5557</v>
      </c>
      <c r="L1759" s="5">
        <v>19100</v>
      </c>
    </row>
    <row r="1760" spans="1:12" x14ac:dyDescent="0.25">
      <c r="A1760" s="3" t="s">
        <v>1057</v>
      </c>
      <c r="B1760" s="4" t="s">
        <v>5309</v>
      </c>
      <c r="C1760" s="4" t="s">
        <v>25</v>
      </c>
      <c r="D1760" s="4" t="s">
        <v>26</v>
      </c>
      <c r="E1760" s="5" t="str">
        <f>"9050655"</f>
        <v>9050655</v>
      </c>
      <c r="F1760" s="3" t="s">
        <v>5558</v>
      </c>
      <c r="G1760" s="5">
        <v>2296032600</v>
      </c>
      <c r="H1760" s="4" t="s">
        <v>5559</v>
      </c>
      <c r="I1760" s="4" t="s">
        <v>5320</v>
      </c>
      <c r="J1760" s="4" t="s">
        <v>725</v>
      </c>
      <c r="K1760" s="4" t="s">
        <v>5560</v>
      </c>
      <c r="L1760" s="5">
        <v>19006</v>
      </c>
    </row>
    <row r="1761" spans="1:12" x14ac:dyDescent="0.25">
      <c r="A1761" s="3" t="s">
        <v>1057</v>
      </c>
      <c r="B1761" s="4" t="s">
        <v>5309</v>
      </c>
      <c r="C1761" s="4" t="s">
        <v>14</v>
      </c>
      <c r="D1761" s="4" t="s">
        <v>15</v>
      </c>
      <c r="E1761" s="5" t="str">
        <f>"9050268"</f>
        <v>9050268</v>
      </c>
      <c r="F1761" s="3" t="s">
        <v>5561</v>
      </c>
      <c r="G1761" s="5">
        <v>2102471531</v>
      </c>
      <c r="H1761" s="4" t="s">
        <v>5562</v>
      </c>
      <c r="I1761" s="4" t="s">
        <v>5342</v>
      </c>
      <c r="J1761" s="4" t="s">
        <v>5343</v>
      </c>
      <c r="K1761" s="4" t="s">
        <v>5563</v>
      </c>
      <c r="L1761" s="5">
        <v>13341</v>
      </c>
    </row>
    <row r="1762" spans="1:12" x14ac:dyDescent="0.25">
      <c r="A1762" s="3" t="s">
        <v>1057</v>
      </c>
      <c r="B1762" s="4" t="s">
        <v>5309</v>
      </c>
      <c r="C1762" s="4" t="s">
        <v>25</v>
      </c>
      <c r="D1762" s="4" t="s">
        <v>26</v>
      </c>
      <c r="E1762" s="5" t="str">
        <f>"9051838"</f>
        <v>9051838</v>
      </c>
      <c r="F1762" s="3" t="s">
        <v>5564</v>
      </c>
      <c r="G1762" s="5">
        <v>2296034615</v>
      </c>
      <c r="H1762" s="4" t="s">
        <v>5565</v>
      </c>
      <c r="I1762" s="4" t="s">
        <v>5320</v>
      </c>
      <c r="J1762" s="4" t="s">
        <v>725</v>
      </c>
      <c r="K1762" s="4" t="s">
        <v>5566</v>
      </c>
      <c r="L1762" s="5">
        <v>19006</v>
      </c>
    </row>
    <row r="1763" spans="1:12" x14ac:dyDescent="0.25">
      <c r="A1763" s="3" t="s">
        <v>1057</v>
      </c>
      <c r="B1763" s="4" t="s">
        <v>5309</v>
      </c>
      <c r="C1763" s="4" t="s">
        <v>25</v>
      </c>
      <c r="D1763" s="4" t="s">
        <v>26</v>
      </c>
      <c r="E1763" s="5" t="str">
        <f>"9050652"</f>
        <v>9050652</v>
      </c>
      <c r="F1763" s="3" t="s">
        <v>5567</v>
      </c>
      <c r="G1763" s="5">
        <v>2105557865</v>
      </c>
      <c r="H1763" s="4" t="s">
        <v>5568</v>
      </c>
      <c r="I1763" s="4" t="s">
        <v>5312</v>
      </c>
      <c r="J1763" s="4" t="s">
        <v>5569</v>
      </c>
      <c r="K1763" s="4" t="s">
        <v>5570</v>
      </c>
      <c r="L1763" s="5">
        <v>19018</v>
      </c>
    </row>
    <row r="1764" spans="1:12" x14ac:dyDescent="0.25">
      <c r="A1764" s="3" t="s">
        <v>1057</v>
      </c>
      <c r="B1764" s="4" t="s">
        <v>5309</v>
      </c>
      <c r="C1764" s="4" t="s">
        <v>25</v>
      </c>
      <c r="D1764" s="4" t="s">
        <v>26</v>
      </c>
      <c r="E1764" s="5" t="str">
        <f>"9520735"</f>
        <v>9520735</v>
      </c>
      <c r="F1764" s="3" t="s">
        <v>5571</v>
      </c>
      <c r="G1764" s="5">
        <v>2296032600</v>
      </c>
      <c r="H1764" s="4" t="s">
        <v>5572</v>
      </c>
      <c r="I1764" s="4" t="s">
        <v>5320</v>
      </c>
      <c r="J1764" s="4" t="s">
        <v>725</v>
      </c>
      <c r="K1764" s="4" t="s">
        <v>5560</v>
      </c>
      <c r="L1764" s="5">
        <v>19006</v>
      </c>
    </row>
    <row r="1765" spans="1:12" x14ac:dyDescent="0.25">
      <c r="A1765" s="3" t="s">
        <v>1057</v>
      </c>
      <c r="B1765" s="4" t="s">
        <v>5309</v>
      </c>
      <c r="C1765" s="4" t="s">
        <v>14</v>
      </c>
      <c r="D1765" s="4" t="s">
        <v>15</v>
      </c>
      <c r="E1765" s="5" t="str">
        <f>"9050623"</f>
        <v>9050623</v>
      </c>
      <c r="F1765" s="3" t="s">
        <v>5573</v>
      </c>
      <c r="G1765" s="5">
        <v>2105546865</v>
      </c>
      <c r="H1765" s="4" t="s">
        <v>5574</v>
      </c>
      <c r="I1765" s="4" t="s">
        <v>5312</v>
      </c>
      <c r="J1765" s="4" t="s">
        <v>5376</v>
      </c>
      <c r="K1765" s="4" t="s">
        <v>5575</v>
      </c>
      <c r="L1765" s="5">
        <v>19200</v>
      </c>
    </row>
    <row r="1766" spans="1:12" x14ac:dyDescent="0.25">
      <c r="A1766" s="3" t="s">
        <v>1057</v>
      </c>
      <c r="B1766" s="4" t="s">
        <v>5309</v>
      </c>
      <c r="C1766" s="4" t="s">
        <v>25</v>
      </c>
      <c r="D1766" s="4" t="s">
        <v>26</v>
      </c>
      <c r="E1766" s="5" t="str">
        <f>"9050627"</f>
        <v>9050627</v>
      </c>
      <c r="F1766" s="3" t="s">
        <v>5576</v>
      </c>
      <c r="G1766" s="5">
        <v>2105549054</v>
      </c>
      <c r="H1766" s="4" t="s">
        <v>5577</v>
      </c>
      <c r="I1766" s="4" t="s">
        <v>5312</v>
      </c>
      <c r="J1766" s="4" t="s">
        <v>5376</v>
      </c>
      <c r="K1766" s="4" t="s">
        <v>5578</v>
      </c>
      <c r="L1766" s="5">
        <v>19200</v>
      </c>
    </row>
    <row r="1767" spans="1:12" x14ac:dyDescent="0.25">
      <c r="A1767" s="3" t="s">
        <v>1057</v>
      </c>
      <c r="B1767" s="4" t="s">
        <v>5309</v>
      </c>
      <c r="C1767" s="4" t="s">
        <v>14</v>
      </c>
      <c r="D1767" s="4" t="s">
        <v>15</v>
      </c>
      <c r="E1767" s="5" t="str">
        <f>"9051852"</f>
        <v>9051852</v>
      </c>
      <c r="F1767" s="3" t="s">
        <v>5579</v>
      </c>
      <c r="G1767" s="5">
        <v>2105595091</v>
      </c>
      <c r="H1767" s="4" t="s">
        <v>5580</v>
      </c>
      <c r="I1767" s="4" t="s">
        <v>5334</v>
      </c>
      <c r="J1767" s="4" t="s">
        <v>5335</v>
      </c>
      <c r="K1767" s="4" t="s">
        <v>5581</v>
      </c>
      <c r="L1767" s="5">
        <v>19300</v>
      </c>
    </row>
    <row r="1768" spans="1:12" x14ac:dyDescent="0.25">
      <c r="A1768" s="3" t="s">
        <v>1057</v>
      </c>
      <c r="B1768" s="4" t="s">
        <v>5309</v>
      </c>
      <c r="C1768" s="4" t="s">
        <v>14</v>
      </c>
      <c r="D1768" s="4" t="s">
        <v>15</v>
      </c>
      <c r="E1768" s="5" t="str">
        <f>"9050686"</f>
        <v>9050686</v>
      </c>
      <c r="F1768" s="3" t="s">
        <v>5582</v>
      </c>
      <c r="G1768" s="5">
        <v>2102472678</v>
      </c>
      <c r="H1768" s="4" t="s">
        <v>5583</v>
      </c>
      <c r="I1768" s="4" t="s">
        <v>5342</v>
      </c>
      <c r="J1768" s="4" t="s">
        <v>5343</v>
      </c>
      <c r="K1768" s="4" t="s">
        <v>5584</v>
      </c>
      <c r="L1768" s="5">
        <v>13341</v>
      </c>
    </row>
    <row r="1769" spans="1:12" x14ac:dyDescent="0.25">
      <c r="A1769" s="3" t="s">
        <v>1057</v>
      </c>
      <c r="B1769" s="4" t="s">
        <v>5309</v>
      </c>
      <c r="C1769" s="4" t="s">
        <v>14</v>
      </c>
      <c r="D1769" s="4" t="s">
        <v>15</v>
      </c>
      <c r="E1769" s="5" t="str">
        <f>"9050287"</f>
        <v>9050287</v>
      </c>
      <c r="F1769" s="3" t="s">
        <v>5585</v>
      </c>
      <c r="G1769" s="5">
        <v>2102475067</v>
      </c>
      <c r="H1769" s="4" t="s">
        <v>5586</v>
      </c>
      <c r="I1769" s="4" t="s">
        <v>5342</v>
      </c>
      <c r="J1769" s="4" t="s">
        <v>5526</v>
      </c>
      <c r="K1769" s="4" t="s">
        <v>5587</v>
      </c>
      <c r="L1769" s="5">
        <v>13461</v>
      </c>
    </row>
    <row r="1770" spans="1:12" x14ac:dyDescent="0.25">
      <c r="A1770" s="3" t="s">
        <v>1057</v>
      </c>
      <c r="B1770" s="4" t="s">
        <v>5309</v>
      </c>
      <c r="C1770" s="4" t="s">
        <v>25</v>
      </c>
      <c r="D1770" s="4" t="s">
        <v>26</v>
      </c>
      <c r="E1770" s="5" t="str">
        <f>"9051871"</f>
        <v>9051871</v>
      </c>
      <c r="F1770" s="3" t="s">
        <v>5588</v>
      </c>
      <c r="G1770" s="5">
        <v>2105579274</v>
      </c>
      <c r="H1770" s="4" t="s">
        <v>5589</v>
      </c>
      <c r="I1770" s="4" t="s">
        <v>5334</v>
      </c>
      <c r="J1770" s="4" t="s">
        <v>5335</v>
      </c>
      <c r="K1770" s="4" t="s">
        <v>5364</v>
      </c>
      <c r="L1770" s="5">
        <v>19300</v>
      </c>
    </row>
    <row r="1771" spans="1:12" x14ac:dyDescent="0.25">
      <c r="A1771" s="3" t="s">
        <v>1057</v>
      </c>
      <c r="B1771" s="4" t="s">
        <v>5309</v>
      </c>
      <c r="C1771" s="4" t="s">
        <v>14</v>
      </c>
      <c r="D1771" s="4" t="s">
        <v>15</v>
      </c>
      <c r="E1771" s="5" t="str">
        <f>"9051157"</f>
        <v>9051157</v>
      </c>
      <c r="F1771" s="3" t="s">
        <v>5590</v>
      </c>
      <c r="G1771" s="5">
        <v>2105545001</v>
      </c>
      <c r="H1771" s="4" t="s">
        <v>5591</v>
      </c>
      <c r="I1771" s="4" t="s">
        <v>5312</v>
      </c>
      <c r="J1771" s="4" t="s">
        <v>5376</v>
      </c>
      <c r="K1771" s="4" t="s">
        <v>5592</v>
      </c>
      <c r="L1771" s="5">
        <v>19200</v>
      </c>
    </row>
    <row r="1772" spans="1:12" x14ac:dyDescent="0.25">
      <c r="A1772" s="3" t="s">
        <v>1057</v>
      </c>
      <c r="B1772" s="4" t="s">
        <v>5309</v>
      </c>
      <c r="C1772" s="4" t="s">
        <v>25</v>
      </c>
      <c r="D1772" s="4" t="s">
        <v>26</v>
      </c>
      <c r="E1772" s="5" t="str">
        <f>"9050617"</f>
        <v>9050617</v>
      </c>
      <c r="F1772" s="3" t="s">
        <v>5593</v>
      </c>
      <c r="G1772" s="5">
        <v>2105573768</v>
      </c>
      <c r="H1772" s="4" t="s">
        <v>5594</v>
      </c>
      <c r="I1772" s="4" t="s">
        <v>5334</v>
      </c>
      <c r="J1772" s="4" t="s">
        <v>5335</v>
      </c>
      <c r="K1772" s="4" t="s">
        <v>5595</v>
      </c>
      <c r="L1772" s="5">
        <v>19300</v>
      </c>
    </row>
    <row r="1773" spans="1:12" x14ac:dyDescent="0.25">
      <c r="A1773" s="3" t="s">
        <v>1057</v>
      </c>
      <c r="B1773" s="4" t="s">
        <v>5309</v>
      </c>
      <c r="C1773" s="4" t="s">
        <v>25</v>
      </c>
      <c r="D1773" s="4" t="s">
        <v>26</v>
      </c>
      <c r="E1773" s="5" t="str">
        <f>"9051880"</f>
        <v>9051880</v>
      </c>
      <c r="F1773" s="3" t="s">
        <v>5596</v>
      </c>
      <c r="G1773" s="5">
        <v>2105582040</v>
      </c>
      <c r="H1773" s="4" t="s">
        <v>5597</v>
      </c>
      <c r="I1773" s="4" t="s">
        <v>5334</v>
      </c>
      <c r="J1773" s="4" t="s">
        <v>5335</v>
      </c>
      <c r="K1773" s="4" t="s">
        <v>5598</v>
      </c>
      <c r="L1773" s="5">
        <v>19300</v>
      </c>
    </row>
    <row r="1774" spans="1:12" x14ac:dyDescent="0.25">
      <c r="A1774" s="3" t="s">
        <v>1057</v>
      </c>
      <c r="B1774" s="4" t="s">
        <v>5309</v>
      </c>
      <c r="C1774" s="4" t="s">
        <v>14</v>
      </c>
      <c r="D1774" s="4" t="s">
        <v>15</v>
      </c>
      <c r="E1774" s="5" t="str">
        <f>"9050831"</f>
        <v>9050831</v>
      </c>
      <c r="F1774" s="3" t="s">
        <v>5599</v>
      </c>
      <c r="G1774" s="5">
        <v>2102475843</v>
      </c>
      <c r="H1774" s="4" t="s">
        <v>5600</v>
      </c>
      <c r="I1774" s="4" t="s">
        <v>5342</v>
      </c>
      <c r="J1774" s="4" t="s">
        <v>5343</v>
      </c>
      <c r="K1774" s="4" t="s">
        <v>5601</v>
      </c>
      <c r="L1774" s="5">
        <v>13341</v>
      </c>
    </row>
    <row r="1775" spans="1:12" x14ac:dyDescent="0.25">
      <c r="A1775" s="3" t="s">
        <v>1057</v>
      </c>
      <c r="B1775" s="4" t="s">
        <v>5309</v>
      </c>
      <c r="C1775" s="4" t="s">
        <v>14</v>
      </c>
      <c r="D1775" s="4" t="s">
        <v>15</v>
      </c>
      <c r="E1775" s="5" t="str">
        <f>"9051648"</f>
        <v>9051648</v>
      </c>
      <c r="F1775" s="3" t="s">
        <v>5602</v>
      </c>
      <c r="G1775" s="5">
        <v>2105551270</v>
      </c>
      <c r="H1775" s="4" t="s">
        <v>5603</v>
      </c>
      <c r="I1775" s="4" t="s">
        <v>5312</v>
      </c>
      <c r="J1775" s="4" t="s">
        <v>5313</v>
      </c>
      <c r="K1775" s="4" t="s">
        <v>5604</v>
      </c>
      <c r="L1775" s="5">
        <v>19018</v>
      </c>
    </row>
    <row r="1776" spans="1:12" x14ac:dyDescent="0.25">
      <c r="A1776" s="3" t="s">
        <v>1057</v>
      </c>
      <c r="B1776" s="4" t="s">
        <v>5309</v>
      </c>
      <c r="C1776" s="4" t="s">
        <v>14</v>
      </c>
      <c r="D1776" s="4" t="s">
        <v>15</v>
      </c>
      <c r="E1776" s="5" t="str">
        <f>"9051877"</f>
        <v>9051877</v>
      </c>
      <c r="F1776" s="3" t="s">
        <v>5605</v>
      </c>
      <c r="G1776" s="5">
        <v>2105598929</v>
      </c>
      <c r="H1776" s="4" t="s">
        <v>5606</v>
      </c>
      <c r="I1776" s="4" t="s">
        <v>5334</v>
      </c>
      <c r="J1776" s="4" t="s">
        <v>5335</v>
      </c>
      <c r="K1776" s="4" t="s">
        <v>5607</v>
      </c>
      <c r="L1776" s="5">
        <v>19300</v>
      </c>
    </row>
    <row r="1777" spans="1:12" x14ac:dyDescent="0.25">
      <c r="A1777" s="3" t="s">
        <v>1057</v>
      </c>
      <c r="B1777" s="4" t="s">
        <v>5309</v>
      </c>
      <c r="C1777" s="4" t="s">
        <v>14</v>
      </c>
      <c r="D1777" s="4" t="s">
        <v>15</v>
      </c>
      <c r="E1777" s="5" t="str">
        <f>"9050965"</f>
        <v>9050965</v>
      </c>
      <c r="F1777" s="3" t="s">
        <v>5608</v>
      </c>
      <c r="G1777" s="5">
        <v>2102472837</v>
      </c>
      <c r="H1777" s="4" t="s">
        <v>5609</v>
      </c>
      <c r="I1777" s="4" t="s">
        <v>5342</v>
      </c>
      <c r="J1777" s="4" t="s">
        <v>5610</v>
      </c>
      <c r="K1777" s="4" t="s">
        <v>5611</v>
      </c>
      <c r="L1777" s="5">
        <v>13341</v>
      </c>
    </row>
    <row r="1778" spans="1:12" x14ac:dyDescent="0.25">
      <c r="A1778" s="3" t="s">
        <v>1057</v>
      </c>
      <c r="B1778" s="4" t="s">
        <v>5309</v>
      </c>
      <c r="C1778" s="4" t="s">
        <v>14</v>
      </c>
      <c r="D1778" s="4" t="s">
        <v>15</v>
      </c>
      <c r="E1778" s="5" t="str">
        <f>"9051752"</f>
        <v>9051752</v>
      </c>
      <c r="F1778" s="3" t="s">
        <v>5612</v>
      </c>
      <c r="G1778" s="5">
        <v>2102474132</v>
      </c>
      <c r="H1778" s="4" t="s">
        <v>5613</v>
      </c>
      <c r="I1778" s="4" t="s">
        <v>5342</v>
      </c>
      <c r="J1778" s="4" t="s">
        <v>5343</v>
      </c>
      <c r="K1778" s="4" t="s">
        <v>5614</v>
      </c>
      <c r="L1778" s="5">
        <v>13341</v>
      </c>
    </row>
    <row r="1779" spans="1:12" x14ac:dyDescent="0.25">
      <c r="A1779" s="3" t="s">
        <v>1057</v>
      </c>
      <c r="B1779" s="4" t="s">
        <v>5309</v>
      </c>
      <c r="C1779" s="4" t="s">
        <v>14</v>
      </c>
      <c r="D1779" s="4" t="s">
        <v>15</v>
      </c>
      <c r="E1779" s="5" t="str">
        <f>"9050626"</f>
        <v>9050626</v>
      </c>
      <c r="F1779" s="3" t="s">
        <v>5615</v>
      </c>
      <c r="G1779" s="5">
        <v>2105546867</v>
      </c>
      <c r="H1779" s="4" t="s">
        <v>5616</v>
      </c>
      <c r="I1779" s="4" t="s">
        <v>5312</v>
      </c>
      <c r="J1779" s="4" t="s">
        <v>5376</v>
      </c>
      <c r="K1779" s="4" t="s">
        <v>5617</v>
      </c>
      <c r="L1779" s="5">
        <v>19200</v>
      </c>
    </row>
    <row r="1780" spans="1:12" x14ac:dyDescent="0.25">
      <c r="A1780" s="3" t="s">
        <v>1057</v>
      </c>
      <c r="B1780" s="4" t="s">
        <v>5309</v>
      </c>
      <c r="C1780" s="4" t="s">
        <v>14</v>
      </c>
      <c r="D1780" s="4" t="s">
        <v>15</v>
      </c>
      <c r="E1780" s="5" t="str">
        <f>"9051870"</f>
        <v>9051870</v>
      </c>
      <c r="F1780" s="3" t="s">
        <v>5618</v>
      </c>
      <c r="G1780" s="5">
        <v>2105598343</v>
      </c>
      <c r="H1780" s="4" t="s">
        <v>5619</v>
      </c>
      <c r="I1780" s="4" t="s">
        <v>5334</v>
      </c>
      <c r="J1780" s="4" t="s">
        <v>5335</v>
      </c>
      <c r="K1780" s="4" t="s">
        <v>5620</v>
      </c>
      <c r="L1780" s="5">
        <v>19300</v>
      </c>
    </row>
    <row r="1781" spans="1:12" x14ac:dyDescent="0.25">
      <c r="A1781" s="3" t="s">
        <v>1057</v>
      </c>
      <c r="B1781" s="4" t="s">
        <v>5309</v>
      </c>
      <c r="C1781" s="4" t="s">
        <v>14</v>
      </c>
      <c r="D1781" s="4" t="s">
        <v>15</v>
      </c>
      <c r="E1781" s="5" t="str">
        <f>"9050653"</f>
        <v>9050653</v>
      </c>
      <c r="F1781" s="3" t="s">
        <v>5621</v>
      </c>
      <c r="G1781" s="5">
        <v>2105555462</v>
      </c>
      <c r="H1781" s="4" t="s">
        <v>5622</v>
      </c>
      <c r="I1781" s="4" t="s">
        <v>5312</v>
      </c>
      <c r="J1781" s="4" t="s">
        <v>5313</v>
      </c>
      <c r="K1781" s="4" t="s">
        <v>5570</v>
      </c>
      <c r="L1781" s="5">
        <v>19600</v>
      </c>
    </row>
    <row r="1782" spans="1:12" x14ac:dyDescent="0.25">
      <c r="A1782" s="3" t="s">
        <v>1057</v>
      </c>
      <c r="B1782" s="4" t="s">
        <v>5309</v>
      </c>
      <c r="C1782" s="4" t="s">
        <v>25</v>
      </c>
      <c r="D1782" s="4" t="s">
        <v>26</v>
      </c>
      <c r="E1782" s="5" t="str">
        <f>"9050612"</f>
        <v>9050612</v>
      </c>
      <c r="F1782" s="3" t="s">
        <v>5623</v>
      </c>
      <c r="G1782" s="5">
        <v>2105575311</v>
      </c>
      <c r="H1782" s="4" t="s">
        <v>5624</v>
      </c>
      <c r="I1782" s="4" t="s">
        <v>5334</v>
      </c>
      <c r="J1782" s="4" t="s">
        <v>5335</v>
      </c>
      <c r="K1782" s="4" t="s">
        <v>5625</v>
      </c>
      <c r="L1782" s="5">
        <v>19300</v>
      </c>
    </row>
    <row r="1783" spans="1:12" x14ac:dyDescent="0.25">
      <c r="A1783" s="3" t="s">
        <v>1057</v>
      </c>
      <c r="B1783" s="4" t="s">
        <v>5309</v>
      </c>
      <c r="C1783" s="4" t="s">
        <v>14</v>
      </c>
      <c r="D1783" s="4" t="s">
        <v>15</v>
      </c>
      <c r="E1783" s="5" t="str">
        <f>"9050633"</f>
        <v>9050633</v>
      </c>
      <c r="F1783" s="3" t="s">
        <v>5626</v>
      </c>
      <c r="G1783" s="5">
        <v>2105546256</v>
      </c>
      <c r="H1783" s="4" t="s">
        <v>5627</v>
      </c>
      <c r="I1783" s="4" t="s">
        <v>5312</v>
      </c>
      <c r="J1783" s="4" t="s">
        <v>5376</v>
      </c>
      <c r="K1783" s="4" t="s">
        <v>5628</v>
      </c>
      <c r="L1783" s="5">
        <v>19200</v>
      </c>
    </row>
    <row r="1784" spans="1:12" x14ac:dyDescent="0.25">
      <c r="A1784" s="3" t="s">
        <v>1057</v>
      </c>
      <c r="B1784" s="4" t="s">
        <v>5309</v>
      </c>
      <c r="C1784" s="4" t="s">
        <v>25</v>
      </c>
      <c r="D1784" s="4" t="s">
        <v>26</v>
      </c>
      <c r="E1784" s="5" t="str">
        <f>"9050624"</f>
        <v>9050624</v>
      </c>
      <c r="F1784" s="3" t="s">
        <v>5629</v>
      </c>
      <c r="G1784" s="5">
        <v>2105543291</v>
      </c>
      <c r="H1784" s="4" t="s">
        <v>5630</v>
      </c>
      <c r="I1784" s="4" t="s">
        <v>5312</v>
      </c>
      <c r="J1784" s="4" t="s">
        <v>5376</v>
      </c>
      <c r="K1784" s="4" t="s">
        <v>5631</v>
      </c>
      <c r="L1784" s="5">
        <v>19200</v>
      </c>
    </row>
    <row r="1785" spans="1:12" x14ac:dyDescent="0.25">
      <c r="A1785" s="3" t="s">
        <v>1057</v>
      </c>
      <c r="B1785" s="4" t="s">
        <v>5309</v>
      </c>
      <c r="C1785" s="4" t="s">
        <v>25</v>
      </c>
      <c r="D1785" s="4" t="s">
        <v>26</v>
      </c>
      <c r="E1785" s="5" t="str">
        <f>"9050614"</f>
        <v>9050614</v>
      </c>
      <c r="F1785" s="3" t="s">
        <v>5632</v>
      </c>
      <c r="G1785" s="5">
        <v>2105572273</v>
      </c>
      <c r="H1785" s="4" t="s">
        <v>5633</v>
      </c>
      <c r="I1785" s="4" t="s">
        <v>5334</v>
      </c>
      <c r="J1785" s="4" t="s">
        <v>5335</v>
      </c>
      <c r="K1785" s="4" t="s">
        <v>5347</v>
      </c>
      <c r="L1785" s="5">
        <v>19300</v>
      </c>
    </row>
    <row r="1786" spans="1:12" x14ac:dyDescent="0.25">
      <c r="A1786" s="3" t="s">
        <v>1057</v>
      </c>
      <c r="B1786" s="4" t="s">
        <v>5309</v>
      </c>
      <c r="C1786" s="4" t="s">
        <v>25</v>
      </c>
      <c r="D1786" s="4" t="s">
        <v>26</v>
      </c>
      <c r="E1786" s="5" t="str">
        <f>"9051760"</f>
        <v>9051760</v>
      </c>
      <c r="F1786" s="3" t="s">
        <v>5634</v>
      </c>
      <c r="G1786" s="5">
        <v>2105571691</v>
      </c>
      <c r="H1786" s="4" t="s">
        <v>5635</v>
      </c>
      <c r="I1786" s="4" t="s">
        <v>5334</v>
      </c>
      <c r="J1786" s="4" t="s">
        <v>5334</v>
      </c>
      <c r="K1786" s="4" t="s">
        <v>5636</v>
      </c>
      <c r="L1786" s="5">
        <v>19300</v>
      </c>
    </row>
    <row r="1787" spans="1:12" x14ac:dyDescent="0.25">
      <c r="A1787" s="3" t="s">
        <v>1057</v>
      </c>
      <c r="B1787" s="4" t="s">
        <v>5309</v>
      </c>
      <c r="C1787" s="4" t="s">
        <v>14</v>
      </c>
      <c r="D1787" s="4" t="s">
        <v>15</v>
      </c>
      <c r="E1787" s="5" t="str">
        <f>"9050647"</f>
        <v>9050647</v>
      </c>
      <c r="F1787" s="3" t="s">
        <v>5637</v>
      </c>
      <c r="G1787" s="5">
        <v>2296080277</v>
      </c>
      <c r="H1787" s="4" t="s">
        <v>5638</v>
      </c>
      <c r="I1787" s="4" t="s">
        <v>5320</v>
      </c>
      <c r="J1787" s="4" t="s">
        <v>5321</v>
      </c>
      <c r="K1787" s="4" t="s">
        <v>5639</v>
      </c>
      <c r="L1787" s="5">
        <v>19100</v>
      </c>
    </row>
    <row r="1788" spans="1:12" x14ac:dyDescent="0.25">
      <c r="A1788" s="3" t="s">
        <v>1057</v>
      </c>
      <c r="B1788" s="4" t="s">
        <v>5309</v>
      </c>
      <c r="C1788" s="4" t="s">
        <v>14</v>
      </c>
      <c r="D1788" s="4" t="s">
        <v>15</v>
      </c>
      <c r="E1788" s="5" t="str">
        <f>"9050642"</f>
        <v>9050642</v>
      </c>
      <c r="F1788" s="3" t="s">
        <v>5640</v>
      </c>
      <c r="G1788" s="5">
        <v>2296080645</v>
      </c>
      <c r="H1788" s="4" t="s">
        <v>5641</v>
      </c>
      <c r="I1788" s="4" t="s">
        <v>5320</v>
      </c>
      <c r="J1788" s="4" t="s">
        <v>5321</v>
      </c>
      <c r="K1788" s="4" t="s">
        <v>5642</v>
      </c>
      <c r="L1788" s="5">
        <v>19100</v>
      </c>
    </row>
    <row r="1789" spans="1:12" x14ac:dyDescent="0.25">
      <c r="A1789" s="3" t="s">
        <v>1057</v>
      </c>
      <c r="B1789" s="4" t="s">
        <v>5309</v>
      </c>
      <c r="C1789" s="4" t="s">
        <v>25</v>
      </c>
      <c r="D1789" s="4" t="s">
        <v>26</v>
      </c>
      <c r="E1789" s="5" t="str">
        <f>"9520650"</f>
        <v>9520650</v>
      </c>
      <c r="F1789" s="3" t="s">
        <v>5643</v>
      </c>
      <c r="G1789" s="5">
        <v>2105559665</v>
      </c>
      <c r="H1789" s="4" t="s">
        <v>5644</v>
      </c>
      <c r="I1789" s="4" t="s">
        <v>5312</v>
      </c>
      <c r="J1789" s="4" t="s">
        <v>5569</v>
      </c>
      <c r="K1789" s="4" t="s">
        <v>5645</v>
      </c>
      <c r="L1789" s="5">
        <v>19018</v>
      </c>
    </row>
    <row r="1790" spans="1:12" x14ac:dyDescent="0.25">
      <c r="A1790" s="3" t="s">
        <v>1057</v>
      </c>
      <c r="B1790" s="4" t="s">
        <v>5309</v>
      </c>
      <c r="C1790" s="4" t="s">
        <v>14</v>
      </c>
      <c r="D1790" s="4" t="s">
        <v>15</v>
      </c>
      <c r="E1790" s="5" t="str">
        <f>"9050648"</f>
        <v>9050648</v>
      </c>
      <c r="F1790" s="3" t="s">
        <v>5646</v>
      </c>
      <c r="G1790" s="5">
        <v>2296029390</v>
      </c>
      <c r="H1790" s="4" t="s">
        <v>5647</v>
      </c>
      <c r="I1790" s="4" t="s">
        <v>5320</v>
      </c>
      <c r="J1790" s="4" t="s">
        <v>5321</v>
      </c>
      <c r="K1790" s="4" t="s">
        <v>5648</v>
      </c>
      <c r="L1790" s="5">
        <v>19100</v>
      </c>
    </row>
    <row r="1791" spans="1:12" x14ac:dyDescent="0.25">
      <c r="A1791" s="3" t="s">
        <v>1057</v>
      </c>
      <c r="B1791" s="4" t="s">
        <v>5309</v>
      </c>
      <c r="C1791" s="4" t="s">
        <v>25</v>
      </c>
      <c r="D1791" s="4" t="s">
        <v>26</v>
      </c>
      <c r="E1791" s="5" t="str">
        <f>"9521501"</f>
        <v>9521501</v>
      </c>
      <c r="F1791" s="3" t="s">
        <v>5649</v>
      </c>
      <c r="G1791" s="5">
        <v>2102380380</v>
      </c>
      <c r="H1791" s="4" t="s">
        <v>5650</v>
      </c>
      <c r="I1791" s="4" t="s">
        <v>5342</v>
      </c>
      <c r="J1791" s="4" t="s">
        <v>5526</v>
      </c>
      <c r="K1791" s="4" t="s">
        <v>5651</v>
      </c>
      <c r="L1791" s="5">
        <v>13461</v>
      </c>
    </row>
    <row r="1792" spans="1:12" x14ac:dyDescent="0.25">
      <c r="A1792" s="3" t="s">
        <v>1057</v>
      </c>
      <c r="B1792" s="4" t="s">
        <v>5309</v>
      </c>
      <c r="C1792" s="4" t="s">
        <v>25</v>
      </c>
      <c r="D1792" s="4" t="s">
        <v>26</v>
      </c>
      <c r="E1792" s="5" t="str">
        <f>"9521354"</f>
        <v>9521354</v>
      </c>
      <c r="F1792" s="3" t="s">
        <v>5652</v>
      </c>
      <c r="G1792" s="5">
        <v>2105597840</v>
      </c>
      <c r="H1792" s="4" t="s">
        <v>5653</v>
      </c>
      <c r="I1792" s="4" t="s">
        <v>5334</v>
      </c>
      <c r="J1792" s="4" t="s">
        <v>5334</v>
      </c>
      <c r="K1792" s="4" t="s">
        <v>5654</v>
      </c>
      <c r="L1792" s="5">
        <v>19300</v>
      </c>
    </row>
    <row r="1793" spans="1:12" x14ac:dyDescent="0.25">
      <c r="A1793" s="3" t="s">
        <v>1057</v>
      </c>
      <c r="B1793" s="4" t="s">
        <v>5309</v>
      </c>
      <c r="C1793" s="4" t="s">
        <v>25</v>
      </c>
      <c r="D1793" s="4" t="s">
        <v>26</v>
      </c>
      <c r="E1793" s="5" t="str">
        <f>"9521587"</f>
        <v>9521587</v>
      </c>
      <c r="F1793" s="3" t="s">
        <v>5655</v>
      </c>
      <c r="G1793" s="5">
        <v>2102472545</v>
      </c>
      <c r="H1793" s="4" t="s">
        <v>5656</v>
      </c>
      <c r="I1793" s="4" t="s">
        <v>5342</v>
      </c>
      <c r="J1793" s="4" t="s">
        <v>5350</v>
      </c>
      <c r="K1793" s="4" t="s">
        <v>5657</v>
      </c>
      <c r="L1793" s="5">
        <v>13341</v>
      </c>
    </row>
    <row r="1794" spans="1:12" x14ac:dyDescent="0.25">
      <c r="A1794" s="3" t="s">
        <v>1057</v>
      </c>
      <c r="B1794" s="4" t="s">
        <v>5309</v>
      </c>
      <c r="C1794" s="4" t="s">
        <v>14</v>
      </c>
      <c r="D1794" s="4" t="s">
        <v>15</v>
      </c>
      <c r="E1794" s="5" t="str">
        <f>"9051851"</f>
        <v>9051851</v>
      </c>
      <c r="F1794" s="3" t="s">
        <v>5658</v>
      </c>
      <c r="G1794" s="5">
        <v>2102480014</v>
      </c>
      <c r="H1794" s="4" t="s">
        <v>5659</v>
      </c>
      <c r="I1794" s="4" t="s">
        <v>5342</v>
      </c>
      <c r="J1794" s="4" t="s">
        <v>5343</v>
      </c>
      <c r="K1794" s="4" t="s">
        <v>5660</v>
      </c>
      <c r="L1794" s="5">
        <v>13341</v>
      </c>
    </row>
    <row r="1795" spans="1:12" x14ac:dyDescent="0.25">
      <c r="A1795" s="3" t="s">
        <v>1057</v>
      </c>
      <c r="B1795" s="4" t="s">
        <v>5309</v>
      </c>
      <c r="C1795" s="4" t="s">
        <v>14</v>
      </c>
      <c r="D1795" s="4" t="s">
        <v>15</v>
      </c>
      <c r="E1795" s="5" t="str">
        <f>"9531000"</f>
        <v>9531000</v>
      </c>
      <c r="F1795" s="3" t="s">
        <v>5661</v>
      </c>
      <c r="G1795" s="5">
        <v>2102487291</v>
      </c>
      <c r="H1795" s="4" t="s">
        <v>5662</v>
      </c>
      <c r="I1795" s="4" t="s">
        <v>5342</v>
      </c>
      <c r="J1795" s="4" t="s">
        <v>5343</v>
      </c>
      <c r="K1795" s="4" t="s">
        <v>5663</v>
      </c>
      <c r="L1795" s="5">
        <v>13341</v>
      </c>
    </row>
    <row r="1796" spans="1:12" x14ac:dyDescent="0.25">
      <c r="A1796" s="3" t="s">
        <v>1057</v>
      </c>
      <c r="B1796" s="4" t="s">
        <v>5664</v>
      </c>
      <c r="C1796" s="4" t="s">
        <v>25</v>
      </c>
      <c r="D1796" s="4" t="s">
        <v>26</v>
      </c>
      <c r="E1796" s="5" t="str">
        <f>"9520242"</f>
        <v>9520242</v>
      </c>
      <c r="F1796" s="3" t="s">
        <v>5665</v>
      </c>
      <c r="G1796" s="5">
        <v>2104318500</v>
      </c>
      <c r="H1796" s="4" t="s">
        <v>5666</v>
      </c>
      <c r="I1796" s="4" t="s">
        <v>5667</v>
      </c>
      <c r="J1796" s="4" t="s">
        <v>5668</v>
      </c>
      <c r="K1796" s="4" t="s">
        <v>5669</v>
      </c>
      <c r="L1796" s="5">
        <v>18756</v>
      </c>
    </row>
    <row r="1797" spans="1:12" x14ac:dyDescent="0.25">
      <c r="A1797" s="3" t="s">
        <v>1057</v>
      </c>
      <c r="B1797" s="4" t="s">
        <v>5664</v>
      </c>
      <c r="C1797" s="4" t="s">
        <v>25</v>
      </c>
      <c r="D1797" s="4" t="s">
        <v>26</v>
      </c>
      <c r="E1797" s="5" t="str">
        <f>"9520230"</f>
        <v>9520230</v>
      </c>
      <c r="F1797" s="3" t="s">
        <v>5670</v>
      </c>
      <c r="G1797" s="5">
        <v>2104310127</v>
      </c>
      <c r="H1797" s="4" t="s">
        <v>5671</v>
      </c>
      <c r="I1797" s="4" t="s">
        <v>5667</v>
      </c>
      <c r="J1797" s="4" t="s">
        <v>5668</v>
      </c>
      <c r="K1797" s="4" t="s">
        <v>309</v>
      </c>
      <c r="L1797" s="5">
        <v>18755</v>
      </c>
    </row>
    <row r="1798" spans="1:12" x14ac:dyDescent="0.25">
      <c r="A1798" s="3" t="s">
        <v>1057</v>
      </c>
      <c r="B1798" s="4" t="s">
        <v>5664</v>
      </c>
      <c r="C1798" s="4" t="s">
        <v>25</v>
      </c>
      <c r="D1798" s="4" t="s">
        <v>26</v>
      </c>
      <c r="E1798" s="5" t="str">
        <f>"9520503"</f>
        <v>9520503</v>
      </c>
      <c r="F1798" s="3" t="s">
        <v>5672</v>
      </c>
      <c r="G1798" s="5">
        <v>2104312073</v>
      </c>
      <c r="H1798" s="4" t="s">
        <v>5673</v>
      </c>
      <c r="I1798" s="4" t="s">
        <v>5667</v>
      </c>
      <c r="J1798" s="4" t="s">
        <v>5668</v>
      </c>
      <c r="K1798" s="4" t="s">
        <v>5674</v>
      </c>
      <c r="L1798" s="5">
        <v>18757</v>
      </c>
    </row>
    <row r="1799" spans="1:12" x14ac:dyDescent="0.25">
      <c r="A1799" s="3" t="s">
        <v>1057</v>
      </c>
      <c r="B1799" s="4" t="s">
        <v>5664</v>
      </c>
      <c r="C1799" s="4" t="s">
        <v>25</v>
      </c>
      <c r="D1799" s="4" t="s">
        <v>26</v>
      </c>
      <c r="E1799" s="5" t="str">
        <f>"9520256"</f>
        <v>9520256</v>
      </c>
      <c r="F1799" s="3" t="s">
        <v>5675</v>
      </c>
      <c r="G1799" s="5">
        <v>2104322948</v>
      </c>
      <c r="H1799" s="4" t="s">
        <v>5676</v>
      </c>
      <c r="I1799" s="4" t="s">
        <v>5667</v>
      </c>
      <c r="J1799" s="4" t="s">
        <v>5668</v>
      </c>
      <c r="K1799" s="4" t="s">
        <v>5677</v>
      </c>
      <c r="L1799" s="5">
        <v>18755</v>
      </c>
    </row>
    <row r="1800" spans="1:12" x14ac:dyDescent="0.25">
      <c r="A1800" s="3" t="s">
        <v>1057</v>
      </c>
      <c r="B1800" s="4" t="s">
        <v>5664</v>
      </c>
      <c r="C1800" s="4" t="s">
        <v>25</v>
      </c>
      <c r="D1800" s="4" t="s">
        <v>26</v>
      </c>
      <c r="E1800" s="5" t="str">
        <f>"9520289"</f>
        <v>9520289</v>
      </c>
      <c r="F1800" s="3" t="s">
        <v>5678</v>
      </c>
      <c r="G1800" s="5">
        <v>2104311093</v>
      </c>
      <c r="H1800" s="4" t="s">
        <v>5679</v>
      </c>
      <c r="I1800" s="4" t="s">
        <v>5667</v>
      </c>
      <c r="J1800" s="4" t="s">
        <v>5668</v>
      </c>
      <c r="K1800" s="4" t="s">
        <v>5680</v>
      </c>
      <c r="L1800" s="5">
        <v>18757</v>
      </c>
    </row>
    <row r="1801" spans="1:12" x14ac:dyDescent="0.25">
      <c r="A1801" s="3" t="s">
        <v>1057</v>
      </c>
      <c r="B1801" s="4" t="s">
        <v>5664</v>
      </c>
      <c r="C1801" s="4" t="s">
        <v>25</v>
      </c>
      <c r="D1801" s="4" t="s">
        <v>26</v>
      </c>
      <c r="E1801" s="5" t="str">
        <f>"9520400"</f>
        <v>9520400</v>
      </c>
      <c r="F1801" s="3" t="s">
        <v>5681</v>
      </c>
      <c r="G1801" s="5">
        <v>2104325333</v>
      </c>
      <c r="H1801" s="4" t="s">
        <v>5682</v>
      </c>
      <c r="I1801" s="4" t="s">
        <v>5667</v>
      </c>
      <c r="J1801" s="4" t="s">
        <v>5668</v>
      </c>
      <c r="K1801" s="4" t="s">
        <v>5683</v>
      </c>
      <c r="L1801" s="5">
        <v>18757</v>
      </c>
    </row>
    <row r="1802" spans="1:12" x14ac:dyDescent="0.25">
      <c r="A1802" s="3" t="s">
        <v>1057</v>
      </c>
      <c r="B1802" s="4" t="s">
        <v>5664</v>
      </c>
      <c r="C1802" s="4" t="s">
        <v>25</v>
      </c>
      <c r="D1802" s="4" t="s">
        <v>26</v>
      </c>
      <c r="E1802" s="5" t="str">
        <f>"9520324"</f>
        <v>9520324</v>
      </c>
      <c r="F1802" s="3" t="s">
        <v>5684</v>
      </c>
      <c r="G1802" s="5">
        <v>2104325055</v>
      </c>
      <c r="H1802" s="4" t="s">
        <v>5685</v>
      </c>
      <c r="I1802" s="4" t="s">
        <v>5667</v>
      </c>
      <c r="J1802" s="4" t="s">
        <v>5668</v>
      </c>
      <c r="K1802" s="4" t="s">
        <v>5686</v>
      </c>
      <c r="L1802" s="5">
        <v>18757</v>
      </c>
    </row>
    <row r="1803" spans="1:12" x14ac:dyDescent="0.25">
      <c r="A1803" s="3" t="s">
        <v>1057</v>
      </c>
      <c r="B1803" s="4" t="s">
        <v>5664</v>
      </c>
      <c r="C1803" s="4" t="s">
        <v>25</v>
      </c>
      <c r="D1803" s="4" t="s">
        <v>26</v>
      </c>
      <c r="E1803" s="5" t="str">
        <f>"9520170"</f>
        <v>9520170</v>
      </c>
      <c r="F1803" s="3" t="s">
        <v>5687</v>
      </c>
      <c r="G1803" s="5">
        <v>2104413848</v>
      </c>
      <c r="H1803" s="4" t="s">
        <v>5688</v>
      </c>
      <c r="I1803" s="4" t="s">
        <v>5689</v>
      </c>
      <c r="J1803" s="4" t="s">
        <v>5689</v>
      </c>
      <c r="K1803" s="4" t="s">
        <v>5690</v>
      </c>
      <c r="L1803" s="5">
        <v>18863</v>
      </c>
    </row>
    <row r="1804" spans="1:12" x14ac:dyDescent="0.25">
      <c r="A1804" s="3" t="s">
        <v>1057</v>
      </c>
      <c r="B1804" s="4" t="s">
        <v>5664</v>
      </c>
      <c r="C1804" s="4" t="s">
        <v>25</v>
      </c>
      <c r="D1804" s="4" t="s">
        <v>26</v>
      </c>
      <c r="E1804" s="5" t="str">
        <f>"9520520"</f>
        <v>9520520</v>
      </c>
      <c r="F1804" s="3" t="s">
        <v>5691</v>
      </c>
      <c r="G1804" s="5">
        <v>2104315365</v>
      </c>
      <c r="H1804" s="4" t="s">
        <v>5692</v>
      </c>
      <c r="I1804" s="4" t="s">
        <v>5667</v>
      </c>
      <c r="J1804" s="4" t="s">
        <v>5668</v>
      </c>
      <c r="K1804" s="4" t="s">
        <v>5693</v>
      </c>
      <c r="L1804" s="5">
        <v>18757</v>
      </c>
    </row>
    <row r="1805" spans="1:12" x14ac:dyDescent="0.25">
      <c r="A1805" s="3" t="s">
        <v>1057</v>
      </c>
      <c r="B1805" s="4" t="s">
        <v>5664</v>
      </c>
      <c r="C1805" s="4" t="s">
        <v>25</v>
      </c>
      <c r="D1805" s="4" t="s">
        <v>26</v>
      </c>
      <c r="E1805" s="5" t="str">
        <f>"9520244"</f>
        <v>9520244</v>
      </c>
      <c r="F1805" s="3" t="s">
        <v>5694</v>
      </c>
      <c r="G1805" s="5">
        <v>2104413863</v>
      </c>
      <c r="H1805" s="4" t="s">
        <v>5695</v>
      </c>
      <c r="I1805" s="4" t="s">
        <v>5689</v>
      </c>
      <c r="J1805" s="4" t="s">
        <v>5689</v>
      </c>
      <c r="K1805" s="4" t="s">
        <v>5696</v>
      </c>
      <c r="L1805" s="5">
        <v>18863</v>
      </c>
    </row>
    <row r="1806" spans="1:12" x14ac:dyDescent="0.25">
      <c r="A1806" s="3" t="s">
        <v>1057</v>
      </c>
      <c r="B1806" s="4" t="s">
        <v>5664</v>
      </c>
      <c r="C1806" s="4" t="s">
        <v>25</v>
      </c>
      <c r="D1806" s="4" t="s">
        <v>26</v>
      </c>
      <c r="E1806" s="5" t="str">
        <f>"9520221"</f>
        <v>9520221</v>
      </c>
      <c r="F1806" s="3" t="s">
        <v>5697</v>
      </c>
      <c r="G1806" s="5">
        <v>2104524583</v>
      </c>
      <c r="H1806" s="4" t="s">
        <v>5698</v>
      </c>
      <c r="I1806" s="4" t="s">
        <v>5699</v>
      </c>
      <c r="J1806" s="4" t="s">
        <v>5700</v>
      </c>
      <c r="K1806" s="4" t="s">
        <v>5701</v>
      </c>
      <c r="L1806" s="5">
        <v>18537</v>
      </c>
    </row>
    <row r="1807" spans="1:12" x14ac:dyDescent="0.25">
      <c r="A1807" s="3" t="s">
        <v>1057</v>
      </c>
      <c r="B1807" s="4" t="s">
        <v>5664</v>
      </c>
      <c r="C1807" s="4" t="s">
        <v>25</v>
      </c>
      <c r="D1807" s="4" t="s">
        <v>26</v>
      </c>
      <c r="E1807" s="5" t="str">
        <f>"9520329"</f>
        <v>9520329</v>
      </c>
      <c r="F1807" s="3" t="s">
        <v>5702</v>
      </c>
      <c r="G1807" s="5">
        <v>2104325355</v>
      </c>
      <c r="H1807" s="4" t="s">
        <v>5703</v>
      </c>
      <c r="I1807" s="4" t="s">
        <v>5667</v>
      </c>
      <c r="J1807" s="4" t="s">
        <v>5668</v>
      </c>
      <c r="K1807" s="4" t="s">
        <v>5704</v>
      </c>
      <c r="L1807" s="5">
        <v>18755</v>
      </c>
    </row>
    <row r="1808" spans="1:12" x14ac:dyDescent="0.25">
      <c r="A1808" s="3" t="s">
        <v>1057</v>
      </c>
      <c r="B1808" s="4" t="s">
        <v>5664</v>
      </c>
      <c r="C1808" s="4" t="s">
        <v>25</v>
      </c>
      <c r="D1808" s="4" t="s">
        <v>26</v>
      </c>
      <c r="E1808" s="5" t="str">
        <f>"9520369"</f>
        <v>9520369</v>
      </c>
      <c r="F1808" s="3" t="s">
        <v>5705</v>
      </c>
      <c r="G1808" s="5">
        <v>2104325713</v>
      </c>
      <c r="H1808" s="4" t="s">
        <v>5706</v>
      </c>
      <c r="I1808" s="4" t="s">
        <v>5667</v>
      </c>
      <c r="J1808" s="4" t="s">
        <v>5668</v>
      </c>
      <c r="K1808" s="4" t="s">
        <v>5693</v>
      </c>
      <c r="L1808" s="5">
        <v>18757</v>
      </c>
    </row>
    <row r="1809" spans="1:12" x14ac:dyDescent="0.25">
      <c r="A1809" s="3" t="s">
        <v>1057</v>
      </c>
      <c r="B1809" s="4" t="s">
        <v>5664</v>
      </c>
      <c r="C1809" s="4" t="s">
        <v>25</v>
      </c>
      <c r="D1809" s="4" t="s">
        <v>26</v>
      </c>
      <c r="E1809" s="5" t="str">
        <f>"9520370"</f>
        <v>9520370</v>
      </c>
      <c r="F1809" s="3" t="s">
        <v>5707</v>
      </c>
      <c r="G1809" s="5">
        <v>2104321568</v>
      </c>
      <c r="H1809" s="4" t="s">
        <v>5708</v>
      </c>
      <c r="I1809" s="4" t="s">
        <v>5667</v>
      </c>
      <c r="J1809" s="4" t="s">
        <v>5668</v>
      </c>
      <c r="K1809" s="4" t="s">
        <v>5709</v>
      </c>
      <c r="L1809" s="5">
        <v>18758</v>
      </c>
    </row>
    <row r="1810" spans="1:12" x14ac:dyDescent="0.25">
      <c r="A1810" s="3" t="s">
        <v>1057</v>
      </c>
      <c r="B1810" s="4" t="s">
        <v>5664</v>
      </c>
      <c r="C1810" s="4" t="s">
        <v>25</v>
      </c>
      <c r="D1810" s="4" t="s">
        <v>26</v>
      </c>
      <c r="E1810" s="5" t="str">
        <f>"9520419"</f>
        <v>9520419</v>
      </c>
      <c r="F1810" s="3" t="s">
        <v>5710</v>
      </c>
      <c r="G1810" s="5">
        <v>2104007990</v>
      </c>
      <c r="H1810" s="4" t="s">
        <v>5711</v>
      </c>
      <c r="I1810" s="4" t="s">
        <v>5667</v>
      </c>
      <c r="J1810" s="4" t="s">
        <v>5668</v>
      </c>
      <c r="K1810" s="4" t="s">
        <v>5712</v>
      </c>
      <c r="L1810" s="5">
        <v>18755</v>
      </c>
    </row>
    <row r="1811" spans="1:12" x14ac:dyDescent="0.25">
      <c r="A1811" s="3" t="s">
        <v>1057</v>
      </c>
      <c r="B1811" s="4" t="s">
        <v>5664</v>
      </c>
      <c r="C1811" s="4" t="s">
        <v>25</v>
      </c>
      <c r="D1811" s="4" t="s">
        <v>26</v>
      </c>
      <c r="E1811" s="5" t="str">
        <f>"9520734"</f>
        <v>9520734</v>
      </c>
      <c r="F1811" s="3" t="s">
        <v>5713</v>
      </c>
      <c r="G1811" s="5">
        <v>2104001207</v>
      </c>
      <c r="H1811" s="4" t="s">
        <v>5714</v>
      </c>
      <c r="I1811" s="4" t="s">
        <v>5667</v>
      </c>
      <c r="J1811" s="4" t="s">
        <v>5668</v>
      </c>
      <c r="K1811" s="4" t="s">
        <v>5715</v>
      </c>
      <c r="L1811" s="5">
        <v>18755</v>
      </c>
    </row>
    <row r="1812" spans="1:12" x14ac:dyDescent="0.25">
      <c r="A1812" s="3" t="s">
        <v>1057</v>
      </c>
      <c r="B1812" s="4" t="s">
        <v>5664</v>
      </c>
      <c r="C1812" s="4" t="s">
        <v>25</v>
      </c>
      <c r="D1812" s="4" t="s">
        <v>26</v>
      </c>
      <c r="E1812" s="5" t="str">
        <f>"9520374"</f>
        <v>9520374</v>
      </c>
      <c r="F1812" s="3" t="s">
        <v>5716</v>
      </c>
      <c r="G1812" s="5">
        <v>2104535222</v>
      </c>
      <c r="H1812" s="4" t="s">
        <v>5717</v>
      </c>
      <c r="I1812" s="4" t="s">
        <v>5699</v>
      </c>
      <c r="J1812" s="4" t="s">
        <v>5700</v>
      </c>
      <c r="K1812" s="4" t="s">
        <v>5701</v>
      </c>
      <c r="L1812" s="5">
        <v>18538</v>
      </c>
    </row>
    <row r="1813" spans="1:12" x14ac:dyDescent="0.25">
      <c r="A1813" s="3" t="s">
        <v>1057</v>
      </c>
      <c r="B1813" s="4" t="s">
        <v>5664</v>
      </c>
      <c r="C1813" s="4" t="s">
        <v>25</v>
      </c>
      <c r="D1813" s="4" t="s">
        <v>26</v>
      </c>
      <c r="E1813" s="5" t="str">
        <f>"9520331"</f>
        <v>9520331</v>
      </c>
      <c r="F1813" s="3" t="s">
        <v>5718</v>
      </c>
      <c r="G1813" s="5">
        <v>2104413034</v>
      </c>
      <c r="H1813" s="4" t="s">
        <v>5719</v>
      </c>
      <c r="I1813" s="4" t="s">
        <v>5689</v>
      </c>
      <c r="J1813" s="4" t="s">
        <v>5689</v>
      </c>
      <c r="K1813" s="4" t="s">
        <v>5720</v>
      </c>
      <c r="L1813" s="5">
        <v>18863</v>
      </c>
    </row>
    <row r="1814" spans="1:12" x14ac:dyDescent="0.25">
      <c r="A1814" s="3" t="s">
        <v>1057</v>
      </c>
      <c r="B1814" s="4" t="s">
        <v>5664</v>
      </c>
      <c r="C1814" s="4" t="s">
        <v>25</v>
      </c>
      <c r="D1814" s="4" t="s">
        <v>26</v>
      </c>
      <c r="E1814" s="5" t="str">
        <f>"9520399"</f>
        <v>9520399</v>
      </c>
      <c r="F1814" s="3" t="s">
        <v>5721</v>
      </c>
      <c r="G1814" s="5">
        <v>2104004127</v>
      </c>
      <c r="H1814" s="4" t="s">
        <v>5722</v>
      </c>
      <c r="I1814" s="4" t="s">
        <v>5667</v>
      </c>
      <c r="J1814" s="4" t="s">
        <v>5668</v>
      </c>
      <c r="K1814" s="4" t="s">
        <v>5723</v>
      </c>
      <c r="L1814" s="5">
        <v>18758</v>
      </c>
    </row>
    <row r="1815" spans="1:12" x14ac:dyDescent="0.25">
      <c r="A1815" s="3" t="s">
        <v>1057</v>
      </c>
      <c r="B1815" s="4" t="s">
        <v>5664</v>
      </c>
      <c r="C1815" s="4" t="s">
        <v>25</v>
      </c>
      <c r="D1815" s="4" t="s">
        <v>26</v>
      </c>
      <c r="E1815" s="5" t="str">
        <f>"9520355"</f>
        <v>9520355</v>
      </c>
      <c r="F1815" s="3" t="s">
        <v>5724</v>
      </c>
      <c r="G1815" s="5">
        <v>2104630151</v>
      </c>
      <c r="H1815" s="4" t="s">
        <v>5725</v>
      </c>
      <c r="I1815" s="4" t="s">
        <v>5699</v>
      </c>
      <c r="J1815" s="4" t="s">
        <v>5700</v>
      </c>
      <c r="K1815" s="4" t="s">
        <v>5726</v>
      </c>
      <c r="L1815" s="5">
        <v>18546</v>
      </c>
    </row>
    <row r="1816" spans="1:12" x14ac:dyDescent="0.25">
      <c r="A1816" s="3" t="s">
        <v>1057</v>
      </c>
      <c r="B1816" s="4" t="s">
        <v>5664</v>
      </c>
      <c r="C1816" s="4" t="s">
        <v>25</v>
      </c>
      <c r="D1816" s="4" t="s">
        <v>26</v>
      </c>
      <c r="E1816" s="5" t="str">
        <f>"9520325"</f>
        <v>9520325</v>
      </c>
      <c r="F1816" s="3" t="s">
        <v>5727</v>
      </c>
      <c r="G1816" s="5">
        <v>2104620362</v>
      </c>
      <c r="H1816" s="4" t="s">
        <v>5728</v>
      </c>
      <c r="I1816" s="4" t="s">
        <v>5699</v>
      </c>
      <c r="J1816" s="4" t="s">
        <v>5700</v>
      </c>
      <c r="K1816" s="4" t="s">
        <v>5729</v>
      </c>
      <c r="L1816" s="5">
        <v>18546</v>
      </c>
    </row>
    <row r="1817" spans="1:12" x14ac:dyDescent="0.25">
      <c r="A1817" s="3" t="s">
        <v>1057</v>
      </c>
      <c r="B1817" s="4" t="s">
        <v>5664</v>
      </c>
      <c r="C1817" s="4" t="s">
        <v>25</v>
      </c>
      <c r="D1817" s="4" t="s">
        <v>26</v>
      </c>
      <c r="E1817" s="5" t="str">
        <f>"9520352"</f>
        <v>9520352</v>
      </c>
      <c r="F1817" s="3" t="s">
        <v>5730</v>
      </c>
      <c r="G1817" s="5">
        <v>2104182617</v>
      </c>
      <c r="H1817" s="4" t="s">
        <v>5731</v>
      </c>
      <c r="I1817" s="4" t="s">
        <v>5699</v>
      </c>
      <c r="J1817" s="4" t="s">
        <v>5700</v>
      </c>
      <c r="K1817" s="4" t="s">
        <v>5732</v>
      </c>
      <c r="L1817" s="5">
        <v>18539</v>
      </c>
    </row>
    <row r="1818" spans="1:12" x14ac:dyDescent="0.25">
      <c r="A1818" s="3" t="s">
        <v>1057</v>
      </c>
      <c r="B1818" s="4" t="s">
        <v>5664</v>
      </c>
      <c r="C1818" s="4" t="s">
        <v>14</v>
      </c>
      <c r="D1818" s="4" t="s">
        <v>15</v>
      </c>
      <c r="E1818" s="5" t="str">
        <f>"9520094"</f>
        <v>9520094</v>
      </c>
      <c r="F1818" s="3" t="s">
        <v>5733</v>
      </c>
      <c r="G1818" s="5">
        <v>2104952931</v>
      </c>
      <c r="H1818" s="4" t="s">
        <v>5734</v>
      </c>
      <c r="I1818" s="4" t="s">
        <v>5735</v>
      </c>
      <c r="J1818" s="4" t="s">
        <v>5736</v>
      </c>
      <c r="K1818" s="4" t="s">
        <v>5737</v>
      </c>
      <c r="L1818" s="5">
        <v>18454</v>
      </c>
    </row>
    <row r="1819" spans="1:12" x14ac:dyDescent="0.25">
      <c r="A1819" s="3" t="s">
        <v>1057</v>
      </c>
      <c r="B1819" s="4" t="s">
        <v>5664</v>
      </c>
      <c r="C1819" s="4" t="s">
        <v>25</v>
      </c>
      <c r="D1819" s="4" t="s">
        <v>26</v>
      </c>
      <c r="E1819" s="5" t="str">
        <f>"9520051"</f>
        <v>9520051</v>
      </c>
      <c r="F1819" s="3" t="s">
        <v>5738</v>
      </c>
      <c r="G1819" s="5">
        <v>2104618459</v>
      </c>
      <c r="H1819" s="4" t="s">
        <v>5739</v>
      </c>
      <c r="I1819" s="4" t="s">
        <v>5667</v>
      </c>
      <c r="J1819" s="4" t="s">
        <v>5740</v>
      </c>
      <c r="K1819" s="4" t="s">
        <v>5741</v>
      </c>
      <c r="L1819" s="5">
        <v>18648</v>
      </c>
    </row>
    <row r="1820" spans="1:12" x14ac:dyDescent="0.25">
      <c r="A1820" s="3" t="s">
        <v>1057</v>
      </c>
      <c r="B1820" s="4" t="s">
        <v>5664</v>
      </c>
      <c r="C1820" s="4" t="s">
        <v>25</v>
      </c>
      <c r="D1820" s="4" t="s">
        <v>26</v>
      </c>
      <c r="E1820" s="5" t="str">
        <f>"9520518"</f>
        <v>9520518</v>
      </c>
      <c r="F1820" s="3" t="s">
        <v>5742</v>
      </c>
      <c r="G1820" s="5">
        <v>2104621782</v>
      </c>
      <c r="H1820" s="4" t="s">
        <v>5743</v>
      </c>
      <c r="I1820" s="4" t="s">
        <v>5667</v>
      </c>
      <c r="J1820" s="4" t="s">
        <v>5744</v>
      </c>
      <c r="K1820" s="4" t="s">
        <v>5745</v>
      </c>
      <c r="L1820" s="5">
        <v>18648</v>
      </c>
    </row>
    <row r="1821" spans="1:12" x14ac:dyDescent="0.25">
      <c r="A1821" s="3" t="s">
        <v>1057</v>
      </c>
      <c r="B1821" s="4" t="s">
        <v>5664</v>
      </c>
      <c r="C1821" s="4" t="s">
        <v>25</v>
      </c>
      <c r="D1821" s="4" t="s">
        <v>26</v>
      </c>
      <c r="E1821" s="5" t="str">
        <f>"9520224"</f>
        <v>9520224</v>
      </c>
      <c r="F1821" s="3" t="s">
        <v>5746</v>
      </c>
      <c r="G1821" s="5">
        <v>2104184310</v>
      </c>
      <c r="H1821" s="4" t="s">
        <v>5747</v>
      </c>
      <c r="I1821" s="4" t="s">
        <v>5699</v>
      </c>
      <c r="J1821" s="4" t="s">
        <v>5700</v>
      </c>
      <c r="K1821" s="4" t="s">
        <v>5748</v>
      </c>
      <c r="L1821" s="5">
        <v>18538</v>
      </c>
    </row>
    <row r="1822" spans="1:12" x14ac:dyDescent="0.25">
      <c r="A1822" s="3" t="s">
        <v>1057</v>
      </c>
      <c r="B1822" s="4" t="s">
        <v>5664</v>
      </c>
      <c r="C1822" s="4" t="s">
        <v>25</v>
      </c>
      <c r="D1822" s="4" t="s">
        <v>26</v>
      </c>
      <c r="E1822" s="5" t="str">
        <f>"9520238"</f>
        <v>9520238</v>
      </c>
      <c r="F1822" s="3" t="s">
        <v>5749</v>
      </c>
      <c r="G1822" s="5">
        <v>2104917737</v>
      </c>
      <c r="H1822" s="4" t="s">
        <v>5750</v>
      </c>
      <c r="I1822" s="4" t="s">
        <v>5699</v>
      </c>
      <c r="J1822" s="4" t="s">
        <v>5700</v>
      </c>
      <c r="K1822" s="4" t="s">
        <v>5751</v>
      </c>
      <c r="L1822" s="5">
        <v>18543</v>
      </c>
    </row>
    <row r="1823" spans="1:12" x14ac:dyDescent="0.25">
      <c r="A1823" s="3" t="s">
        <v>1057</v>
      </c>
      <c r="B1823" s="4" t="s">
        <v>5664</v>
      </c>
      <c r="C1823" s="4" t="s">
        <v>25</v>
      </c>
      <c r="D1823" s="4" t="s">
        <v>26</v>
      </c>
      <c r="E1823" s="5" t="str">
        <f>"9520229"</f>
        <v>9520229</v>
      </c>
      <c r="F1823" s="3" t="s">
        <v>5752</v>
      </c>
      <c r="G1823" s="5">
        <v>2104623769</v>
      </c>
      <c r="H1823" s="4" t="s">
        <v>5753</v>
      </c>
      <c r="I1823" s="4" t="s">
        <v>5667</v>
      </c>
      <c r="J1823" s="4" t="s">
        <v>5744</v>
      </c>
      <c r="K1823" s="4" t="s">
        <v>5754</v>
      </c>
      <c r="L1823" s="5">
        <v>18648</v>
      </c>
    </row>
    <row r="1824" spans="1:12" x14ac:dyDescent="0.25">
      <c r="A1824" s="3" t="s">
        <v>1057</v>
      </c>
      <c r="B1824" s="4" t="s">
        <v>5664</v>
      </c>
      <c r="C1824" s="4" t="s">
        <v>25</v>
      </c>
      <c r="D1824" s="4" t="s">
        <v>26</v>
      </c>
      <c r="E1824" s="5" t="str">
        <f>"9520323"</f>
        <v>9520323</v>
      </c>
      <c r="F1824" s="3" t="s">
        <v>5755</v>
      </c>
      <c r="G1824" s="5">
        <v>2104318798</v>
      </c>
      <c r="H1824" s="4" t="s">
        <v>5756</v>
      </c>
      <c r="I1824" s="4" t="s">
        <v>5689</v>
      </c>
      <c r="J1824" s="4" t="s">
        <v>5757</v>
      </c>
      <c r="K1824" s="4" t="s">
        <v>5758</v>
      </c>
      <c r="L1824" s="5">
        <v>18863</v>
      </c>
    </row>
    <row r="1825" spans="1:12" x14ac:dyDescent="0.25">
      <c r="A1825" s="3" t="s">
        <v>1057</v>
      </c>
      <c r="B1825" s="4" t="s">
        <v>5664</v>
      </c>
      <c r="C1825" s="4" t="s">
        <v>25</v>
      </c>
      <c r="D1825" s="4" t="s">
        <v>26</v>
      </c>
      <c r="E1825" s="5" t="str">
        <f>"9520227"</f>
        <v>9520227</v>
      </c>
      <c r="F1825" s="3" t="s">
        <v>5759</v>
      </c>
      <c r="G1825" s="5">
        <v>2104182093</v>
      </c>
      <c r="H1825" s="4" t="s">
        <v>5760</v>
      </c>
      <c r="I1825" s="4" t="s">
        <v>5699</v>
      </c>
      <c r="J1825" s="4" t="s">
        <v>5700</v>
      </c>
      <c r="K1825" s="4" t="s">
        <v>5761</v>
      </c>
      <c r="L1825" s="5">
        <v>18539</v>
      </c>
    </row>
    <row r="1826" spans="1:12" x14ac:dyDescent="0.25">
      <c r="A1826" s="3" t="s">
        <v>1057</v>
      </c>
      <c r="B1826" s="4" t="s">
        <v>5664</v>
      </c>
      <c r="C1826" s="4" t="s">
        <v>25</v>
      </c>
      <c r="D1826" s="4" t="s">
        <v>26</v>
      </c>
      <c r="E1826" s="5" t="str">
        <f>"9520231"</f>
        <v>9520231</v>
      </c>
      <c r="F1826" s="3" t="s">
        <v>5762</v>
      </c>
      <c r="G1826" s="5">
        <v>2104933496</v>
      </c>
      <c r="H1826" s="4" t="s">
        <v>5763</v>
      </c>
      <c r="I1826" s="4" t="s">
        <v>5735</v>
      </c>
      <c r="J1826" s="4" t="s">
        <v>5764</v>
      </c>
      <c r="K1826" s="4" t="s">
        <v>5765</v>
      </c>
      <c r="L1826" s="5">
        <v>18451</v>
      </c>
    </row>
    <row r="1827" spans="1:12" x14ac:dyDescent="0.25">
      <c r="A1827" s="3" t="s">
        <v>1057</v>
      </c>
      <c r="B1827" s="4" t="s">
        <v>5664</v>
      </c>
      <c r="C1827" s="4" t="s">
        <v>25</v>
      </c>
      <c r="D1827" s="4" t="s">
        <v>26</v>
      </c>
      <c r="E1827" s="5" t="str">
        <f>"9520148"</f>
        <v>9520148</v>
      </c>
      <c r="F1827" s="3" t="s">
        <v>5766</v>
      </c>
      <c r="G1827" s="5">
        <v>2131301466</v>
      </c>
      <c r="H1827" s="4" t="s">
        <v>5767</v>
      </c>
      <c r="I1827" s="4" t="s">
        <v>5699</v>
      </c>
      <c r="J1827" s="4" t="s">
        <v>5700</v>
      </c>
      <c r="K1827" s="4" t="s">
        <v>5768</v>
      </c>
      <c r="L1827" s="5">
        <v>18546</v>
      </c>
    </row>
    <row r="1828" spans="1:12" x14ac:dyDescent="0.25">
      <c r="A1828" s="3" t="s">
        <v>1057</v>
      </c>
      <c r="B1828" s="4" t="s">
        <v>5664</v>
      </c>
      <c r="C1828" s="4" t="s">
        <v>25</v>
      </c>
      <c r="D1828" s="4" t="s">
        <v>26</v>
      </c>
      <c r="E1828" s="5" t="str">
        <f>"9520145"</f>
        <v>9520145</v>
      </c>
      <c r="F1828" s="3" t="s">
        <v>5769</v>
      </c>
      <c r="G1828" s="5">
        <v>2104203068</v>
      </c>
      <c r="H1828" s="4" t="s">
        <v>5770</v>
      </c>
      <c r="I1828" s="4" t="s">
        <v>5699</v>
      </c>
      <c r="J1828" s="4" t="s">
        <v>5700</v>
      </c>
      <c r="K1828" s="4" t="s">
        <v>5771</v>
      </c>
      <c r="L1828" s="5">
        <v>18544</v>
      </c>
    </row>
    <row r="1829" spans="1:12" x14ac:dyDescent="0.25">
      <c r="A1829" s="3" t="s">
        <v>1057</v>
      </c>
      <c r="B1829" s="4" t="s">
        <v>5664</v>
      </c>
      <c r="C1829" s="4" t="s">
        <v>25</v>
      </c>
      <c r="D1829" s="4" t="s">
        <v>26</v>
      </c>
      <c r="E1829" s="5" t="str">
        <f>"9520295"</f>
        <v>9520295</v>
      </c>
      <c r="F1829" s="3" t="s">
        <v>5772</v>
      </c>
      <c r="G1829" s="5">
        <v>2104415057</v>
      </c>
      <c r="H1829" s="4" t="s">
        <v>5773</v>
      </c>
      <c r="I1829" s="4" t="s">
        <v>5689</v>
      </c>
      <c r="J1829" s="4" t="s">
        <v>5689</v>
      </c>
      <c r="K1829" s="4" t="s">
        <v>5774</v>
      </c>
      <c r="L1829" s="5">
        <v>18863</v>
      </c>
    </row>
    <row r="1830" spans="1:12" x14ac:dyDescent="0.25">
      <c r="A1830" s="3" t="s">
        <v>1057</v>
      </c>
      <c r="B1830" s="4" t="s">
        <v>5664</v>
      </c>
      <c r="C1830" s="4" t="s">
        <v>25</v>
      </c>
      <c r="D1830" s="4" t="s">
        <v>26</v>
      </c>
      <c r="E1830" s="5" t="str">
        <f>"9520237"</f>
        <v>9520237</v>
      </c>
      <c r="F1830" s="3" t="s">
        <v>5775</v>
      </c>
      <c r="G1830" s="5">
        <v>2104623050</v>
      </c>
      <c r="H1830" s="4" t="s">
        <v>5776</v>
      </c>
      <c r="I1830" s="4" t="s">
        <v>5699</v>
      </c>
      <c r="J1830" s="4" t="s">
        <v>5700</v>
      </c>
      <c r="K1830" s="4" t="s">
        <v>5777</v>
      </c>
      <c r="L1830" s="5">
        <v>18546</v>
      </c>
    </row>
    <row r="1831" spans="1:12" x14ac:dyDescent="0.25">
      <c r="A1831" s="3" t="s">
        <v>1057</v>
      </c>
      <c r="B1831" s="4" t="s">
        <v>5664</v>
      </c>
      <c r="C1831" s="4" t="s">
        <v>25</v>
      </c>
      <c r="D1831" s="4" t="s">
        <v>26</v>
      </c>
      <c r="E1831" s="5" t="str">
        <f>"9520168"</f>
        <v>9520168</v>
      </c>
      <c r="F1831" s="3" t="s">
        <v>5778</v>
      </c>
      <c r="G1831" s="5">
        <v>2104411348</v>
      </c>
      <c r="H1831" s="4" t="s">
        <v>5779</v>
      </c>
      <c r="I1831" s="4" t="s">
        <v>5689</v>
      </c>
      <c r="J1831" s="4" t="s">
        <v>5689</v>
      </c>
      <c r="K1831" s="4" t="s">
        <v>5780</v>
      </c>
      <c r="L1831" s="5">
        <v>18863</v>
      </c>
    </row>
    <row r="1832" spans="1:12" x14ac:dyDescent="0.25">
      <c r="A1832" s="3" t="s">
        <v>1057</v>
      </c>
      <c r="B1832" s="4" t="s">
        <v>5664</v>
      </c>
      <c r="C1832" s="4" t="s">
        <v>25</v>
      </c>
      <c r="D1832" s="4" t="s">
        <v>26</v>
      </c>
      <c r="E1832" s="5" t="str">
        <f>"9520223"</f>
        <v>9520223</v>
      </c>
      <c r="F1832" s="3" t="s">
        <v>5781</v>
      </c>
      <c r="G1832" s="5">
        <v>2104538808</v>
      </c>
      <c r="H1832" s="4" t="s">
        <v>5782</v>
      </c>
      <c r="I1832" s="4" t="s">
        <v>5699</v>
      </c>
      <c r="J1832" s="4" t="s">
        <v>5700</v>
      </c>
      <c r="K1832" s="4" t="s">
        <v>5783</v>
      </c>
      <c r="L1832" s="5">
        <v>18539</v>
      </c>
    </row>
    <row r="1833" spans="1:12" x14ac:dyDescent="0.25">
      <c r="A1833" s="3" t="s">
        <v>1057</v>
      </c>
      <c r="B1833" s="4" t="s">
        <v>5664</v>
      </c>
      <c r="C1833" s="4" t="s">
        <v>25</v>
      </c>
      <c r="D1833" s="4" t="s">
        <v>26</v>
      </c>
      <c r="E1833" s="5" t="str">
        <f>"9520226"</f>
        <v>9520226</v>
      </c>
      <c r="F1833" s="3" t="s">
        <v>5784</v>
      </c>
      <c r="G1833" s="5">
        <v>2104520256</v>
      </c>
      <c r="H1833" s="4" t="s">
        <v>5785</v>
      </c>
      <c r="I1833" s="4" t="s">
        <v>5699</v>
      </c>
      <c r="J1833" s="4" t="s">
        <v>5700</v>
      </c>
      <c r="K1833" s="4" t="s">
        <v>5786</v>
      </c>
      <c r="L1833" s="5">
        <v>18539</v>
      </c>
    </row>
    <row r="1834" spans="1:12" x14ac:dyDescent="0.25">
      <c r="A1834" s="3" t="s">
        <v>1057</v>
      </c>
      <c r="B1834" s="4" t="s">
        <v>5664</v>
      </c>
      <c r="C1834" s="4" t="s">
        <v>25</v>
      </c>
      <c r="D1834" s="4" t="s">
        <v>26</v>
      </c>
      <c r="E1834" s="5" t="str">
        <f>"9520219"</f>
        <v>9520219</v>
      </c>
      <c r="F1834" s="3" t="s">
        <v>5787</v>
      </c>
      <c r="G1834" s="5">
        <v>2104834374</v>
      </c>
      <c r="H1834" s="4" t="s">
        <v>5788</v>
      </c>
      <c r="I1834" s="4" t="s">
        <v>5735</v>
      </c>
      <c r="J1834" s="4" t="s">
        <v>5789</v>
      </c>
      <c r="K1834" s="4" t="s">
        <v>5790</v>
      </c>
      <c r="L1834" s="5">
        <v>18233</v>
      </c>
    </row>
    <row r="1835" spans="1:12" x14ac:dyDescent="0.25">
      <c r="A1835" s="3" t="s">
        <v>1057</v>
      </c>
      <c r="B1835" s="4" t="s">
        <v>5664</v>
      </c>
      <c r="C1835" s="4" t="s">
        <v>25</v>
      </c>
      <c r="D1835" s="4" t="s">
        <v>26</v>
      </c>
      <c r="E1835" s="5" t="str">
        <f>"9520284"</f>
        <v>9520284</v>
      </c>
      <c r="F1835" s="3" t="s">
        <v>5791</v>
      </c>
      <c r="G1835" s="5">
        <v>2104224413</v>
      </c>
      <c r="H1835" s="4" t="s">
        <v>5792</v>
      </c>
      <c r="I1835" s="4" t="s">
        <v>5699</v>
      </c>
      <c r="J1835" s="4" t="s">
        <v>5700</v>
      </c>
      <c r="K1835" s="4" t="s">
        <v>5793</v>
      </c>
      <c r="L1835" s="5">
        <v>18533</v>
      </c>
    </row>
    <row r="1836" spans="1:12" x14ac:dyDescent="0.25">
      <c r="A1836" s="3" t="s">
        <v>1057</v>
      </c>
      <c r="B1836" s="4" t="s">
        <v>5664</v>
      </c>
      <c r="C1836" s="4" t="s">
        <v>25</v>
      </c>
      <c r="D1836" s="4" t="s">
        <v>26</v>
      </c>
      <c r="E1836" s="5" t="str">
        <f>"9520354"</f>
        <v>9520354</v>
      </c>
      <c r="F1836" s="3" t="s">
        <v>5794</v>
      </c>
      <c r="G1836" s="5">
        <v>2104514897</v>
      </c>
      <c r="H1836" s="4" t="s">
        <v>5795</v>
      </c>
      <c r="I1836" s="4" t="s">
        <v>5699</v>
      </c>
      <c r="J1836" s="4" t="s">
        <v>5700</v>
      </c>
      <c r="K1836" s="4" t="s">
        <v>5796</v>
      </c>
      <c r="L1836" s="5">
        <v>18537</v>
      </c>
    </row>
    <row r="1837" spans="1:12" x14ac:dyDescent="0.25">
      <c r="A1837" s="3" t="s">
        <v>1057</v>
      </c>
      <c r="B1837" s="4" t="s">
        <v>5664</v>
      </c>
      <c r="C1837" s="4" t="s">
        <v>25</v>
      </c>
      <c r="D1837" s="4" t="s">
        <v>26</v>
      </c>
      <c r="E1837" s="5" t="str">
        <f>"9520395"</f>
        <v>9520395</v>
      </c>
      <c r="F1837" s="3" t="s">
        <v>5797</v>
      </c>
      <c r="G1837" s="5">
        <v>2104827223</v>
      </c>
      <c r="H1837" s="4" t="s">
        <v>5798</v>
      </c>
      <c r="I1837" s="4" t="s">
        <v>5735</v>
      </c>
      <c r="J1837" s="4" t="s">
        <v>5789</v>
      </c>
      <c r="K1837" s="4" t="s">
        <v>5799</v>
      </c>
      <c r="L1837" s="5">
        <v>18233</v>
      </c>
    </row>
    <row r="1838" spans="1:12" x14ac:dyDescent="0.25">
      <c r="A1838" s="3" t="s">
        <v>1057</v>
      </c>
      <c r="B1838" s="4" t="s">
        <v>5664</v>
      </c>
      <c r="C1838" s="4" t="s">
        <v>25</v>
      </c>
      <c r="D1838" s="4" t="s">
        <v>26</v>
      </c>
      <c r="E1838" s="5" t="str">
        <f>"9520275"</f>
        <v>9520275</v>
      </c>
      <c r="F1838" s="3" t="s">
        <v>5800</v>
      </c>
      <c r="G1838" s="5">
        <v>2104833719</v>
      </c>
      <c r="H1838" s="4" t="s">
        <v>5801</v>
      </c>
      <c r="I1838" s="4" t="s">
        <v>5699</v>
      </c>
      <c r="J1838" s="4" t="s">
        <v>5802</v>
      </c>
      <c r="K1838" s="4" t="s">
        <v>5803</v>
      </c>
      <c r="L1838" s="5">
        <v>18547</v>
      </c>
    </row>
    <row r="1839" spans="1:12" x14ac:dyDescent="0.25">
      <c r="A1839" s="3" t="s">
        <v>1057</v>
      </c>
      <c r="B1839" s="4" t="s">
        <v>5664</v>
      </c>
      <c r="C1839" s="4" t="s">
        <v>25</v>
      </c>
      <c r="D1839" s="4" t="s">
        <v>26</v>
      </c>
      <c r="E1839" s="5" t="str">
        <f>"9520292"</f>
        <v>9520292</v>
      </c>
      <c r="F1839" s="3" t="s">
        <v>5804</v>
      </c>
      <c r="G1839" s="5">
        <v>2104022973</v>
      </c>
      <c r="H1839" s="4" t="s">
        <v>5805</v>
      </c>
      <c r="I1839" s="4" t="s">
        <v>5689</v>
      </c>
      <c r="J1839" s="4" t="s">
        <v>5689</v>
      </c>
      <c r="K1839" s="4" t="s">
        <v>5806</v>
      </c>
      <c r="L1839" s="5">
        <v>18863</v>
      </c>
    </row>
    <row r="1840" spans="1:12" x14ac:dyDescent="0.25">
      <c r="A1840" s="3" t="s">
        <v>1057</v>
      </c>
      <c r="B1840" s="4" t="s">
        <v>5664</v>
      </c>
      <c r="C1840" s="4" t="s">
        <v>25</v>
      </c>
      <c r="D1840" s="4" t="s">
        <v>26</v>
      </c>
      <c r="E1840" s="5" t="str">
        <f>"9520277"</f>
        <v>9520277</v>
      </c>
      <c r="F1840" s="3" t="s">
        <v>5807</v>
      </c>
      <c r="G1840" s="5">
        <v>2104130043</v>
      </c>
      <c r="H1840" s="4" t="s">
        <v>5808</v>
      </c>
      <c r="I1840" s="4" t="s">
        <v>5699</v>
      </c>
      <c r="J1840" s="4" t="s">
        <v>5700</v>
      </c>
      <c r="K1840" s="4" t="s">
        <v>5809</v>
      </c>
      <c r="L1840" s="5">
        <v>18533</v>
      </c>
    </row>
    <row r="1841" spans="1:12" x14ac:dyDescent="0.25">
      <c r="A1841" s="3" t="s">
        <v>1057</v>
      </c>
      <c r="B1841" s="4" t="s">
        <v>5664</v>
      </c>
      <c r="C1841" s="4" t="s">
        <v>14</v>
      </c>
      <c r="D1841" s="4" t="s">
        <v>15</v>
      </c>
      <c r="E1841" s="5" t="str">
        <f>"9520005"</f>
        <v>9520005</v>
      </c>
      <c r="F1841" s="3" t="s">
        <v>5810</v>
      </c>
      <c r="G1841" s="5">
        <v>2104824188</v>
      </c>
      <c r="H1841" s="4" t="s">
        <v>5811</v>
      </c>
      <c r="I1841" s="4" t="s">
        <v>5699</v>
      </c>
      <c r="J1841" s="4" t="s">
        <v>5812</v>
      </c>
      <c r="K1841" s="4" t="s">
        <v>5813</v>
      </c>
      <c r="L1841" s="5">
        <v>18547</v>
      </c>
    </row>
    <row r="1842" spans="1:12" x14ac:dyDescent="0.25">
      <c r="A1842" s="3" t="s">
        <v>1057</v>
      </c>
      <c r="B1842" s="4" t="s">
        <v>5664</v>
      </c>
      <c r="C1842" s="4" t="s">
        <v>14</v>
      </c>
      <c r="D1842" s="4" t="s">
        <v>15</v>
      </c>
      <c r="E1842" s="5" t="str">
        <f>"9520184"</f>
        <v>9520184</v>
      </c>
      <c r="F1842" s="3" t="s">
        <v>5814</v>
      </c>
      <c r="G1842" s="5">
        <v>2104315276</v>
      </c>
      <c r="H1842" s="4" t="s">
        <v>5815</v>
      </c>
      <c r="I1842" s="4" t="s">
        <v>5667</v>
      </c>
      <c r="J1842" s="4" t="s">
        <v>5816</v>
      </c>
      <c r="K1842" s="4" t="s">
        <v>5680</v>
      </c>
      <c r="L1842" s="5">
        <v>18757</v>
      </c>
    </row>
    <row r="1843" spans="1:12" ht="30" x14ac:dyDescent="0.25">
      <c r="A1843" s="3" t="s">
        <v>1057</v>
      </c>
      <c r="B1843" s="4" t="s">
        <v>5664</v>
      </c>
      <c r="C1843" s="4" t="s">
        <v>14</v>
      </c>
      <c r="D1843" s="4" t="s">
        <v>15</v>
      </c>
      <c r="E1843" s="5" t="str">
        <f>"9520204"</f>
        <v>9520204</v>
      </c>
      <c r="F1843" s="3" t="s">
        <v>5817</v>
      </c>
      <c r="G1843" s="5">
        <v>2114078780</v>
      </c>
      <c r="H1843" s="4" t="s">
        <v>5818</v>
      </c>
      <c r="I1843" s="4" t="s">
        <v>5819</v>
      </c>
      <c r="J1843" s="4" t="s">
        <v>5820</v>
      </c>
      <c r="K1843" s="4" t="s">
        <v>5821</v>
      </c>
      <c r="L1843" s="5">
        <v>18902</v>
      </c>
    </row>
    <row r="1844" spans="1:12" x14ac:dyDescent="0.25">
      <c r="A1844" s="3" t="s">
        <v>1057</v>
      </c>
      <c r="B1844" s="4" t="s">
        <v>5664</v>
      </c>
      <c r="C1844" s="4" t="s">
        <v>14</v>
      </c>
      <c r="D1844" s="4" t="s">
        <v>15</v>
      </c>
      <c r="E1844" s="5" t="str">
        <f>"9520057"</f>
        <v>9520057</v>
      </c>
      <c r="F1844" s="3" t="s">
        <v>5822</v>
      </c>
      <c r="G1844" s="5">
        <v>2104173894</v>
      </c>
      <c r="H1844" s="4" t="s">
        <v>5823</v>
      </c>
      <c r="I1844" s="4" t="s">
        <v>5699</v>
      </c>
      <c r="J1844" s="4" t="s">
        <v>5812</v>
      </c>
      <c r="K1844" s="4" t="s">
        <v>5824</v>
      </c>
      <c r="L1844" s="5">
        <v>18534</v>
      </c>
    </row>
    <row r="1845" spans="1:12" x14ac:dyDescent="0.25">
      <c r="A1845" s="3" t="s">
        <v>1057</v>
      </c>
      <c r="B1845" s="4" t="s">
        <v>5664</v>
      </c>
      <c r="C1845" s="4" t="s">
        <v>14</v>
      </c>
      <c r="D1845" s="4" t="s">
        <v>15</v>
      </c>
      <c r="E1845" s="5" t="str">
        <f>"9520339"</f>
        <v>9520339</v>
      </c>
      <c r="F1845" s="3" t="s">
        <v>5825</v>
      </c>
      <c r="G1845" s="5">
        <v>2104180029</v>
      </c>
      <c r="H1845" s="4" t="s">
        <v>5826</v>
      </c>
      <c r="I1845" s="4" t="s">
        <v>5699</v>
      </c>
      <c r="J1845" s="4" t="s">
        <v>5812</v>
      </c>
      <c r="K1845" s="4" t="s">
        <v>5827</v>
      </c>
      <c r="L1845" s="5">
        <v>18539</v>
      </c>
    </row>
    <row r="1846" spans="1:12" x14ac:dyDescent="0.25">
      <c r="A1846" s="3" t="s">
        <v>1057</v>
      </c>
      <c r="B1846" s="4" t="s">
        <v>5664</v>
      </c>
      <c r="C1846" s="4" t="s">
        <v>14</v>
      </c>
      <c r="D1846" s="4" t="s">
        <v>15</v>
      </c>
      <c r="E1846" s="5" t="str">
        <f>"9520139"</f>
        <v>9520139</v>
      </c>
      <c r="F1846" s="3" t="s">
        <v>5828</v>
      </c>
      <c r="G1846" s="5">
        <v>2104614777</v>
      </c>
      <c r="H1846" s="4" t="s">
        <v>5829</v>
      </c>
      <c r="I1846" s="4" t="s">
        <v>5699</v>
      </c>
      <c r="J1846" s="4" t="s">
        <v>5812</v>
      </c>
      <c r="K1846" s="4" t="s">
        <v>5830</v>
      </c>
      <c r="L1846" s="5">
        <v>18546</v>
      </c>
    </row>
    <row r="1847" spans="1:12" x14ac:dyDescent="0.25">
      <c r="A1847" s="3" t="s">
        <v>1057</v>
      </c>
      <c r="B1847" s="4" t="s">
        <v>5664</v>
      </c>
      <c r="C1847" s="4" t="s">
        <v>25</v>
      </c>
      <c r="D1847" s="4" t="s">
        <v>26</v>
      </c>
      <c r="E1847" s="5" t="str">
        <f>"9520187"</f>
        <v>9520187</v>
      </c>
      <c r="F1847" s="3" t="s">
        <v>5831</v>
      </c>
      <c r="G1847" s="5">
        <v>2104657113</v>
      </c>
      <c r="H1847" s="4" t="s">
        <v>5832</v>
      </c>
      <c r="I1847" s="4" t="s">
        <v>5819</v>
      </c>
      <c r="J1847" s="4" t="s">
        <v>5833</v>
      </c>
      <c r="K1847" s="4" t="s">
        <v>5834</v>
      </c>
      <c r="L1847" s="5">
        <v>18900</v>
      </c>
    </row>
    <row r="1848" spans="1:12" x14ac:dyDescent="0.25">
      <c r="A1848" s="3" t="s">
        <v>1057</v>
      </c>
      <c r="B1848" s="4" t="s">
        <v>5664</v>
      </c>
      <c r="C1848" s="4" t="s">
        <v>14</v>
      </c>
      <c r="D1848" s="4" t="s">
        <v>15</v>
      </c>
      <c r="E1848" s="5" t="str">
        <f>"9520249"</f>
        <v>9520249</v>
      </c>
      <c r="F1848" s="3" t="s">
        <v>5835</v>
      </c>
      <c r="G1848" s="5">
        <v>2104952052</v>
      </c>
      <c r="H1848" s="4" t="s">
        <v>5836</v>
      </c>
      <c r="I1848" s="4" t="s">
        <v>5837</v>
      </c>
      <c r="J1848" s="4" t="s">
        <v>5838</v>
      </c>
      <c r="K1848" s="4" t="s">
        <v>5839</v>
      </c>
      <c r="L1848" s="5">
        <v>18120</v>
      </c>
    </row>
    <row r="1849" spans="1:12" x14ac:dyDescent="0.25">
      <c r="A1849" s="3" t="s">
        <v>1057</v>
      </c>
      <c r="B1849" s="4" t="s">
        <v>5664</v>
      </c>
      <c r="C1849" s="4" t="s">
        <v>14</v>
      </c>
      <c r="D1849" s="4" t="s">
        <v>15</v>
      </c>
      <c r="E1849" s="5" t="str">
        <f>"9520054"</f>
        <v>9520054</v>
      </c>
      <c r="F1849" s="3" t="s">
        <v>5840</v>
      </c>
      <c r="G1849" s="5">
        <v>2104618220</v>
      </c>
      <c r="H1849" s="4" t="s">
        <v>5841</v>
      </c>
      <c r="I1849" s="4" t="s">
        <v>5667</v>
      </c>
      <c r="J1849" s="4" t="s">
        <v>5740</v>
      </c>
      <c r="K1849" s="4" t="s">
        <v>5842</v>
      </c>
      <c r="L1849" s="5">
        <v>18648</v>
      </c>
    </row>
    <row r="1850" spans="1:12" x14ac:dyDescent="0.25">
      <c r="A1850" s="3" t="s">
        <v>1057</v>
      </c>
      <c r="B1850" s="4" t="s">
        <v>5664</v>
      </c>
      <c r="C1850" s="4" t="s">
        <v>14</v>
      </c>
      <c r="D1850" s="4" t="s">
        <v>15</v>
      </c>
      <c r="E1850" s="5" t="str">
        <f>"9520020"</f>
        <v>9520020</v>
      </c>
      <c r="F1850" s="3" t="s">
        <v>5843</v>
      </c>
      <c r="G1850" s="5">
        <v>2104173289</v>
      </c>
      <c r="H1850" s="4" t="s">
        <v>5844</v>
      </c>
      <c r="I1850" s="4" t="s">
        <v>5699</v>
      </c>
      <c r="J1850" s="4" t="s">
        <v>5812</v>
      </c>
      <c r="K1850" s="4" t="s">
        <v>5845</v>
      </c>
      <c r="L1850" s="5">
        <v>18534</v>
      </c>
    </row>
    <row r="1851" spans="1:12" x14ac:dyDescent="0.25">
      <c r="A1851" s="3" t="s">
        <v>1057</v>
      </c>
      <c r="B1851" s="4" t="s">
        <v>5664</v>
      </c>
      <c r="C1851" s="4" t="s">
        <v>25</v>
      </c>
      <c r="D1851" s="4" t="s">
        <v>26</v>
      </c>
      <c r="E1851" s="5" t="str">
        <f>"9520245"</f>
        <v>9520245</v>
      </c>
      <c r="F1851" s="3" t="s">
        <v>5846</v>
      </c>
      <c r="G1851" s="5">
        <v>2104657112</v>
      </c>
      <c r="H1851" s="4" t="s">
        <v>5847</v>
      </c>
      <c r="I1851" s="4" t="s">
        <v>5819</v>
      </c>
      <c r="J1851" s="4" t="s">
        <v>5833</v>
      </c>
      <c r="K1851" s="4" t="s">
        <v>5848</v>
      </c>
      <c r="L1851" s="5">
        <v>18900</v>
      </c>
    </row>
    <row r="1852" spans="1:12" x14ac:dyDescent="0.25">
      <c r="A1852" s="3" t="s">
        <v>1057</v>
      </c>
      <c r="B1852" s="4" t="s">
        <v>5664</v>
      </c>
      <c r="C1852" s="4" t="s">
        <v>14</v>
      </c>
      <c r="D1852" s="4" t="s">
        <v>15</v>
      </c>
      <c r="E1852" s="5" t="str">
        <f>"9520334"</f>
        <v>9520334</v>
      </c>
      <c r="F1852" s="3" t="s">
        <v>5849</v>
      </c>
      <c r="G1852" s="5">
        <v>2104014420</v>
      </c>
      <c r="H1852" s="4" t="s">
        <v>5850</v>
      </c>
      <c r="I1852" s="4" t="s">
        <v>5667</v>
      </c>
      <c r="J1852" s="4" t="s">
        <v>5851</v>
      </c>
      <c r="K1852" s="4" t="s">
        <v>5852</v>
      </c>
      <c r="L1852" s="5">
        <v>18755</v>
      </c>
    </row>
    <row r="1853" spans="1:12" x14ac:dyDescent="0.25">
      <c r="A1853" s="3" t="s">
        <v>1057</v>
      </c>
      <c r="B1853" s="4" t="s">
        <v>5664</v>
      </c>
      <c r="C1853" s="4" t="s">
        <v>25</v>
      </c>
      <c r="D1853" s="4" t="s">
        <v>26</v>
      </c>
      <c r="E1853" s="5" t="str">
        <f>"9520008"</f>
        <v>9520008</v>
      </c>
      <c r="F1853" s="3" t="s">
        <v>5853</v>
      </c>
      <c r="G1853" s="5">
        <v>2104624215</v>
      </c>
      <c r="H1853" s="4" t="s">
        <v>5854</v>
      </c>
      <c r="I1853" s="4" t="s">
        <v>5699</v>
      </c>
      <c r="J1853" s="4" t="s">
        <v>5700</v>
      </c>
      <c r="K1853" s="4" t="s">
        <v>5855</v>
      </c>
      <c r="L1853" s="5">
        <v>18544</v>
      </c>
    </row>
    <row r="1854" spans="1:12" x14ac:dyDescent="0.25">
      <c r="A1854" s="3" t="s">
        <v>1057</v>
      </c>
      <c r="B1854" s="4" t="s">
        <v>5664</v>
      </c>
      <c r="C1854" s="4" t="s">
        <v>14</v>
      </c>
      <c r="D1854" s="4" t="s">
        <v>15</v>
      </c>
      <c r="E1854" s="5" t="str">
        <f>"9520069"</f>
        <v>9520069</v>
      </c>
      <c r="F1854" s="3" t="s">
        <v>5856</v>
      </c>
      <c r="G1854" s="5">
        <v>2104513869</v>
      </c>
      <c r="H1854" s="4" t="s">
        <v>5857</v>
      </c>
      <c r="I1854" s="4" t="s">
        <v>5699</v>
      </c>
      <c r="J1854" s="4" t="s">
        <v>5812</v>
      </c>
      <c r="K1854" s="4" t="s">
        <v>5858</v>
      </c>
      <c r="L1854" s="5">
        <v>18539</v>
      </c>
    </row>
    <row r="1855" spans="1:12" x14ac:dyDescent="0.25">
      <c r="A1855" s="3" t="s">
        <v>1057</v>
      </c>
      <c r="B1855" s="4" t="s">
        <v>5664</v>
      </c>
      <c r="C1855" s="4" t="s">
        <v>25</v>
      </c>
      <c r="D1855" s="4" t="s">
        <v>26</v>
      </c>
      <c r="E1855" s="5" t="str">
        <f>"9520549"</f>
        <v>9520549</v>
      </c>
      <c r="F1855" s="3" t="s">
        <v>5859</v>
      </c>
      <c r="G1855" s="5">
        <v>2104413174</v>
      </c>
      <c r="H1855" s="4" t="s">
        <v>5860</v>
      </c>
      <c r="I1855" s="4" t="s">
        <v>5689</v>
      </c>
      <c r="J1855" s="4" t="s">
        <v>5689</v>
      </c>
      <c r="K1855" s="4" t="s">
        <v>5861</v>
      </c>
      <c r="L1855" s="5">
        <v>18863</v>
      </c>
    </row>
    <row r="1856" spans="1:12" x14ac:dyDescent="0.25">
      <c r="A1856" s="3" t="s">
        <v>1057</v>
      </c>
      <c r="B1856" s="4" t="s">
        <v>5664</v>
      </c>
      <c r="C1856" s="4" t="s">
        <v>14</v>
      </c>
      <c r="D1856" s="4" t="s">
        <v>15</v>
      </c>
      <c r="E1856" s="5" t="str">
        <f>"9520022"</f>
        <v>9520022</v>
      </c>
      <c r="F1856" s="3" t="s">
        <v>5862</v>
      </c>
      <c r="G1856" s="5">
        <v>2104123683</v>
      </c>
      <c r="H1856" s="4" t="s">
        <v>5863</v>
      </c>
      <c r="I1856" s="4" t="s">
        <v>5699</v>
      </c>
      <c r="J1856" s="4" t="s">
        <v>5700</v>
      </c>
      <c r="K1856" s="4" t="s">
        <v>5864</v>
      </c>
      <c r="L1856" s="5">
        <v>18532</v>
      </c>
    </row>
    <row r="1857" spans="1:12" x14ac:dyDescent="0.25">
      <c r="A1857" s="3" t="s">
        <v>1057</v>
      </c>
      <c r="B1857" s="4" t="s">
        <v>5664</v>
      </c>
      <c r="C1857" s="4" t="s">
        <v>25</v>
      </c>
      <c r="D1857" s="4" t="s">
        <v>26</v>
      </c>
      <c r="E1857" s="5" t="str">
        <f>"9520025"</f>
        <v>9520025</v>
      </c>
      <c r="F1857" s="3" t="s">
        <v>5865</v>
      </c>
      <c r="G1857" s="5">
        <v>2104824109</v>
      </c>
      <c r="H1857" s="4" t="s">
        <v>5866</v>
      </c>
      <c r="I1857" s="4" t="s">
        <v>5699</v>
      </c>
      <c r="J1857" s="4" t="s">
        <v>5700</v>
      </c>
      <c r="K1857" s="4" t="s">
        <v>5867</v>
      </c>
      <c r="L1857" s="5">
        <v>18541</v>
      </c>
    </row>
    <row r="1858" spans="1:12" x14ac:dyDescent="0.25">
      <c r="A1858" s="3" t="s">
        <v>1057</v>
      </c>
      <c r="B1858" s="4" t="s">
        <v>5664</v>
      </c>
      <c r="C1858" s="4" t="s">
        <v>25</v>
      </c>
      <c r="D1858" s="4" t="s">
        <v>26</v>
      </c>
      <c r="E1858" s="5" t="str">
        <f>"9520029"</f>
        <v>9520029</v>
      </c>
      <c r="F1858" s="3" t="s">
        <v>5868</v>
      </c>
      <c r="G1858" s="5">
        <v>2104827346</v>
      </c>
      <c r="H1858" s="4" t="s">
        <v>5869</v>
      </c>
      <c r="I1858" s="4" t="s">
        <v>5699</v>
      </c>
      <c r="J1858" s="4" t="s">
        <v>5700</v>
      </c>
      <c r="K1858" s="4" t="s">
        <v>5870</v>
      </c>
      <c r="L1858" s="5">
        <v>18541</v>
      </c>
    </row>
    <row r="1859" spans="1:12" x14ac:dyDescent="0.25">
      <c r="A1859" s="3" t="s">
        <v>1057</v>
      </c>
      <c r="B1859" s="4" t="s">
        <v>5664</v>
      </c>
      <c r="C1859" s="4" t="s">
        <v>25</v>
      </c>
      <c r="D1859" s="4" t="s">
        <v>26</v>
      </c>
      <c r="E1859" s="5" t="str">
        <f>"9520214"</f>
        <v>9520214</v>
      </c>
      <c r="F1859" s="3" t="s">
        <v>5871</v>
      </c>
      <c r="G1859" s="5">
        <v>2104209783</v>
      </c>
      <c r="H1859" s="4" t="s">
        <v>5872</v>
      </c>
      <c r="I1859" s="4" t="s">
        <v>5699</v>
      </c>
      <c r="J1859" s="4" t="s">
        <v>5700</v>
      </c>
      <c r="K1859" s="4" t="s">
        <v>5873</v>
      </c>
      <c r="L1859" s="5">
        <v>18541</v>
      </c>
    </row>
    <row r="1860" spans="1:12" x14ac:dyDescent="0.25">
      <c r="A1860" s="3" t="s">
        <v>1057</v>
      </c>
      <c r="B1860" s="4" t="s">
        <v>5664</v>
      </c>
      <c r="C1860" s="4" t="s">
        <v>25</v>
      </c>
      <c r="D1860" s="4" t="s">
        <v>26</v>
      </c>
      <c r="E1860" s="5" t="str">
        <f>"9520216"</f>
        <v>9520216</v>
      </c>
      <c r="F1860" s="3" t="s">
        <v>5874</v>
      </c>
      <c r="G1860" s="5">
        <v>2104126758</v>
      </c>
      <c r="H1860" s="4" t="s">
        <v>5875</v>
      </c>
      <c r="I1860" s="4" t="s">
        <v>5699</v>
      </c>
      <c r="J1860" s="4" t="s">
        <v>5700</v>
      </c>
      <c r="K1860" s="4" t="s">
        <v>5876</v>
      </c>
      <c r="L1860" s="5">
        <v>18540</v>
      </c>
    </row>
    <row r="1861" spans="1:12" x14ac:dyDescent="0.25">
      <c r="A1861" s="3" t="s">
        <v>1057</v>
      </c>
      <c r="B1861" s="4" t="s">
        <v>5664</v>
      </c>
      <c r="C1861" s="4" t="s">
        <v>25</v>
      </c>
      <c r="D1861" s="4" t="s">
        <v>26</v>
      </c>
      <c r="E1861" s="5" t="str">
        <f>"9520276"</f>
        <v>9520276</v>
      </c>
      <c r="F1861" s="3" t="s">
        <v>5877</v>
      </c>
      <c r="G1861" s="5">
        <v>2104207527</v>
      </c>
      <c r="H1861" s="4" t="s">
        <v>5878</v>
      </c>
      <c r="I1861" s="4" t="s">
        <v>5699</v>
      </c>
      <c r="J1861" s="4" t="s">
        <v>5700</v>
      </c>
      <c r="K1861" s="4" t="s">
        <v>5879</v>
      </c>
      <c r="L1861" s="5">
        <v>18542</v>
      </c>
    </row>
    <row r="1862" spans="1:12" x14ac:dyDescent="0.25">
      <c r="A1862" s="3" t="s">
        <v>1057</v>
      </c>
      <c r="B1862" s="4" t="s">
        <v>5664</v>
      </c>
      <c r="C1862" s="4" t="s">
        <v>25</v>
      </c>
      <c r="D1862" s="4" t="s">
        <v>26</v>
      </c>
      <c r="E1862" s="5" t="str">
        <f>"9520417"</f>
        <v>9520417</v>
      </c>
      <c r="F1862" s="3" t="s">
        <v>5880</v>
      </c>
      <c r="G1862" s="5">
        <v>2104209710</v>
      </c>
      <c r="H1862" s="4" t="s">
        <v>5881</v>
      </c>
      <c r="I1862" s="4" t="s">
        <v>5699</v>
      </c>
      <c r="J1862" s="4" t="s">
        <v>5700</v>
      </c>
      <c r="K1862" s="4" t="s">
        <v>5882</v>
      </c>
      <c r="L1862" s="5">
        <v>18541</v>
      </c>
    </row>
    <row r="1863" spans="1:12" x14ac:dyDescent="0.25">
      <c r="A1863" s="3" t="s">
        <v>1057</v>
      </c>
      <c r="B1863" s="4" t="s">
        <v>5664</v>
      </c>
      <c r="C1863" s="4" t="s">
        <v>25</v>
      </c>
      <c r="D1863" s="4" t="s">
        <v>26</v>
      </c>
      <c r="E1863" s="5" t="str">
        <f>"9520123"</f>
        <v>9520123</v>
      </c>
      <c r="F1863" s="3" t="s">
        <v>5883</v>
      </c>
      <c r="G1863" s="5">
        <v>2104930653</v>
      </c>
      <c r="H1863" s="4" t="s">
        <v>5884</v>
      </c>
      <c r="I1863" s="4" t="s">
        <v>5735</v>
      </c>
      <c r="J1863" s="4" t="s">
        <v>5764</v>
      </c>
      <c r="K1863" s="4" t="s">
        <v>5885</v>
      </c>
      <c r="L1863" s="5">
        <v>18450</v>
      </c>
    </row>
    <row r="1864" spans="1:12" x14ac:dyDescent="0.25">
      <c r="A1864" s="3" t="s">
        <v>1057</v>
      </c>
      <c r="B1864" s="4" t="s">
        <v>5664</v>
      </c>
      <c r="C1864" s="4" t="s">
        <v>25</v>
      </c>
      <c r="D1864" s="4" t="s">
        <v>26</v>
      </c>
      <c r="E1864" s="5" t="str">
        <f>"9520129"</f>
        <v>9520129</v>
      </c>
      <c r="F1864" s="3" t="s">
        <v>5886</v>
      </c>
      <c r="G1864" s="5">
        <v>2104918685</v>
      </c>
      <c r="H1864" s="4" t="s">
        <v>5887</v>
      </c>
      <c r="I1864" s="4" t="s">
        <v>5735</v>
      </c>
      <c r="J1864" s="4" t="s">
        <v>5764</v>
      </c>
      <c r="K1864" s="4" t="s">
        <v>5888</v>
      </c>
      <c r="L1864" s="5">
        <v>18450</v>
      </c>
    </row>
    <row r="1865" spans="1:12" x14ac:dyDescent="0.25">
      <c r="A1865" s="3" t="s">
        <v>1057</v>
      </c>
      <c r="B1865" s="4" t="s">
        <v>5664</v>
      </c>
      <c r="C1865" s="4" t="s">
        <v>25</v>
      </c>
      <c r="D1865" s="4" t="s">
        <v>26</v>
      </c>
      <c r="E1865" s="5" t="str">
        <f>"9520100"</f>
        <v>9520100</v>
      </c>
      <c r="F1865" s="3" t="s">
        <v>5889</v>
      </c>
      <c r="G1865" s="5">
        <v>2104921285</v>
      </c>
      <c r="H1865" s="4" t="s">
        <v>5890</v>
      </c>
      <c r="I1865" s="4" t="s">
        <v>5735</v>
      </c>
      <c r="J1865" s="4" t="s">
        <v>5764</v>
      </c>
      <c r="K1865" s="4" t="s">
        <v>5891</v>
      </c>
      <c r="L1865" s="5">
        <v>18453</v>
      </c>
    </row>
    <row r="1866" spans="1:12" x14ac:dyDescent="0.25">
      <c r="A1866" s="3" t="s">
        <v>1057</v>
      </c>
      <c r="B1866" s="4" t="s">
        <v>5664</v>
      </c>
      <c r="C1866" s="4" t="s">
        <v>25</v>
      </c>
      <c r="D1866" s="4" t="s">
        <v>26</v>
      </c>
      <c r="E1866" s="5" t="str">
        <f>"9520132"</f>
        <v>9520132</v>
      </c>
      <c r="F1866" s="3" t="s">
        <v>5892</v>
      </c>
      <c r="G1866" s="5">
        <v>2104933488</v>
      </c>
      <c r="H1866" s="4" t="s">
        <v>5893</v>
      </c>
      <c r="I1866" s="4" t="s">
        <v>5735</v>
      </c>
      <c r="J1866" s="4" t="s">
        <v>5764</v>
      </c>
      <c r="K1866" s="4" t="s">
        <v>5894</v>
      </c>
      <c r="L1866" s="5">
        <v>18450</v>
      </c>
    </row>
    <row r="1867" spans="1:12" x14ac:dyDescent="0.25">
      <c r="A1867" s="3" t="s">
        <v>1057</v>
      </c>
      <c r="B1867" s="4" t="s">
        <v>5664</v>
      </c>
      <c r="C1867" s="4" t="s">
        <v>25</v>
      </c>
      <c r="D1867" s="4" t="s">
        <v>26</v>
      </c>
      <c r="E1867" s="5" t="str">
        <f>"9520133"</f>
        <v>9520133</v>
      </c>
      <c r="F1867" s="3" t="s">
        <v>5895</v>
      </c>
      <c r="G1867" s="5">
        <v>2104910075</v>
      </c>
      <c r="H1867" s="4" t="s">
        <v>5896</v>
      </c>
      <c r="I1867" s="4" t="s">
        <v>5735</v>
      </c>
      <c r="J1867" s="4" t="s">
        <v>5764</v>
      </c>
      <c r="K1867" s="4" t="s">
        <v>5897</v>
      </c>
      <c r="L1867" s="5">
        <v>18452</v>
      </c>
    </row>
    <row r="1868" spans="1:12" x14ac:dyDescent="0.25">
      <c r="A1868" s="3" t="s">
        <v>1057</v>
      </c>
      <c r="B1868" s="4" t="s">
        <v>5664</v>
      </c>
      <c r="C1868" s="4" t="s">
        <v>25</v>
      </c>
      <c r="D1868" s="4" t="s">
        <v>26</v>
      </c>
      <c r="E1868" s="5" t="str">
        <f>"9520261"</f>
        <v>9520261</v>
      </c>
      <c r="F1868" s="3" t="s">
        <v>5898</v>
      </c>
      <c r="G1868" s="5">
        <v>2104918681</v>
      </c>
      <c r="H1868" s="4" t="s">
        <v>5899</v>
      </c>
      <c r="I1868" s="4" t="s">
        <v>5735</v>
      </c>
      <c r="J1868" s="4" t="s">
        <v>5764</v>
      </c>
      <c r="K1868" s="4" t="s">
        <v>5900</v>
      </c>
      <c r="L1868" s="5">
        <v>18450</v>
      </c>
    </row>
    <row r="1869" spans="1:12" x14ac:dyDescent="0.25">
      <c r="A1869" s="3" t="s">
        <v>1057</v>
      </c>
      <c r="B1869" s="4" t="s">
        <v>5664</v>
      </c>
      <c r="C1869" s="4" t="s">
        <v>25</v>
      </c>
      <c r="D1869" s="4" t="s">
        <v>26</v>
      </c>
      <c r="E1869" s="5" t="str">
        <f>"9520288"</f>
        <v>9520288</v>
      </c>
      <c r="F1869" s="3" t="s">
        <v>5901</v>
      </c>
      <c r="G1869" s="5">
        <v>2104961608</v>
      </c>
      <c r="H1869" s="4" t="s">
        <v>5902</v>
      </c>
      <c r="I1869" s="4" t="s">
        <v>5735</v>
      </c>
      <c r="J1869" s="4" t="s">
        <v>5764</v>
      </c>
      <c r="K1869" s="4" t="s">
        <v>5903</v>
      </c>
      <c r="L1869" s="5">
        <v>18452</v>
      </c>
    </row>
    <row r="1870" spans="1:12" x14ac:dyDescent="0.25">
      <c r="A1870" s="3" t="s">
        <v>1057</v>
      </c>
      <c r="B1870" s="4" t="s">
        <v>5664</v>
      </c>
      <c r="C1870" s="4" t="s">
        <v>25</v>
      </c>
      <c r="D1870" s="4" t="s">
        <v>26</v>
      </c>
      <c r="E1870" s="5" t="str">
        <f>"9520316"</f>
        <v>9520316</v>
      </c>
      <c r="F1870" s="3" t="s">
        <v>5904</v>
      </c>
      <c r="G1870" s="5">
        <v>2104911788</v>
      </c>
      <c r="H1870" s="4" t="s">
        <v>5905</v>
      </c>
      <c r="I1870" s="4" t="s">
        <v>5735</v>
      </c>
      <c r="J1870" s="4" t="s">
        <v>5736</v>
      </c>
      <c r="K1870" s="4" t="s">
        <v>5765</v>
      </c>
      <c r="L1870" s="5">
        <v>18451</v>
      </c>
    </row>
    <row r="1871" spans="1:12" x14ac:dyDescent="0.25">
      <c r="A1871" s="3" t="s">
        <v>1057</v>
      </c>
      <c r="B1871" s="4" t="s">
        <v>5664</v>
      </c>
      <c r="C1871" s="4" t="s">
        <v>25</v>
      </c>
      <c r="D1871" s="4" t="s">
        <v>26</v>
      </c>
      <c r="E1871" s="5" t="str">
        <f>"9520317"</f>
        <v>9520317</v>
      </c>
      <c r="F1871" s="3" t="s">
        <v>5906</v>
      </c>
      <c r="G1871" s="5">
        <v>2104924924</v>
      </c>
      <c r="H1871" s="4" t="s">
        <v>5907</v>
      </c>
      <c r="I1871" s="4" t="s">
        <v>5735</v>
      </c>
      <c r="J1871" s="4" t="s">
        <v>5764</v>
      </c>
      <c r="K1871" s="4" t="s">
        <v>5908</v>
      </c>
      <c r="L1871" s="5">
        <v>18451</v>
      </c>
    </row>
    <row r="1872" spans="1:12" x14ac:dyDescent="0.25">
      <c r="A1872" s="3" t="s">
        <v>1057</v>
      </c>
      <c r="B1872" s="4" t="s">
        <v>5664</v>
      </c>
      <c r="C1872" s="4" t="s">
        <v>25</v>
      </c>
      <c r="D1872" s="4" t="s">
        <v>26</v>
      </c>
      <c r="E1872" s="5" t="str">
        <f>"9520318"</f>
        <v>9520318</v>
      </c>
      <c r="F1872" s="3" t="s">
        <v>5909</v>
      </c>
      <c r="G1872" s="5">
        <v>2104975200</v>
      </c>
      <c r="H1872" s="4" t="s">
        <v>5910</v>
      </c>
      <c r="I1872" s="4" t="s">
        <v>5735</v>
      </c>
      <c r="J1872" s="4" t="s">
        <v>5764</v>
      </c>
      <c r="K1872" s="4" t="s">
        <v>5911</v>
      </c>
      <c r="L1872" s="5">
        <v>18454</v>
      </c>
    </row>
    <row r="1873" spans="1:12" x14ac:dyDescent="0.25">
      <c r="A1873" s="3" t="s">
        <v>1057</v>
      </c>
      <c r="B1873" s="4" t="s">
        <v>5664</v>
      </c>
      <c r="C1873" s="4" t="s">
        <v>25</v>
      </c>
      <c r="D1873" s="4" t="s">
        <v>26</v>
      </c>
      <c r="E1873" s="5" t="str">
        <f>"9520291"</f>
        <v>9520291</v>
      </c>
      <c r="F1873" s="3" t="s">
        <v>5912</v>
      </c>
      <c r="G1873" s="5">
        <v>2104919936</v>
      </c>
      <c r="H1873" s="4" t="s">
        <v>5913</v>
      </c>
      <c r="I1873" s="4" t="s">
        <v>5735</v>
      </c>
      <c r="J1873" s="4" t="s">
        <v>5764</v>
      </c>
      <c r="K1873" s="4" t="s">
        <v>5914</v>
      </c>
      <c r="L1873" s="5">
        <v>18450</v>
      </c>
    </row>
    <row r="1874" spans="1:12" x14ac:dyDescent="0.25">
      <c r="A1874" s="3" t="s">
        <v>1057</v>
      </c>
      <c r="B1874" s="4" t="s">
        <v>5664</v>
      </c>
      <c r="C1874" s="4" t="s">
        <v>25</v>
      </c>
      <c r="D1874" s="4" t="s">
        <v>26</v>
      </c>
      <c r="E1874" s="5" t="str">
        <f>"9520319"</f>
        <v>9520319</v>
      </c>
      <c r="F1874" s="3" t="s">
        <v>5915</v>
      </c>
      <c r="G1874" s="5">
        <v>2104978400</v>
      </c>
      <c r="H1874" s="4" t="s">
        <v>5916</v>
      </c>
      <c r="I1874" s="4" t="s">
        <v>5735</v>
      </c>
      <c r="J1874" s="4" t="s">
        <v>5764</v>
      </c>
      <c r="K1874" s="4" t="s">
        <v>5911</v>
      </c>
      <c r="L1874" s="5">
        <v>18454</v>
      </c>
    </row>
    <row r="1875" spans="1:12" x14ac:dyDescent="0.25">
      <c r="A1875" s="3" t="s">
        <v>1057</v>
      </c>
      <c r="B1875" s="4" t="s">
        <v>5664</v>
      </c>
      <c r="C1875" s="4" t="s">
        <v>25</v>
      </c>
      <c r="D1875" s="4" t="s">
        <v>26</v>
      </c>
      <c r="E1875" s="5" t="str">
        <f>"9520320"</f>
        <v>9520320</v>
      </c>
      <c r="F1875" s="3" t="s">
        <v>5917</v>
      </c>
      <c r="G1875" s="5">
        <v>2104922422</v>
      </c>
      <c r="H1875" s="4" t="s">
        <v>5918</v>
      </c>
      <c r="I1875" s="4" t="s">
        <v>5735</v>
      </c>
      <c r="J1875" s="4" t="s">
        <v>5736</v>
      </c>
      <c r="K1875" s="4" t="s">
        <v>5765</v>
      </c>
      <c r="L1875" s="5">
        <v>18451</v>
      </c>
    </row>
    <row r="1876" spans="1:12" x14ac:dyDescent="0.25">
      <c r="A1876" s="3" t="s">
        <v>1057</v>
      </c>
      <c r="B1876" s="4" t="s">
        <v>5664</v>
      </c>
      <c r="C1876" s="4" t="s">
        <v>25</v>
      </c>
      <c r="D1876" s="4" t="s">
        <v>26</v>
      </c>
      <c r="E1876" s="5" t="str">
        <f>"9520554"</f>
        <v>9520554</v>
      </c>
      <c r="F1876" s="3" t="s">
        <v>5919</v>
      </c>
      <c r="G1876" s="5">
        <v>2104914181</v>
      </c>
      <c r="H1876" s="4" t="s">
        <v>5920</v>
      </c>
      <c r="I1876" s="4" t="s">
        <v>5735</v>
      </c>
      <c r="J1876" s="4" t="s">
        <v>5764</v>
      </c>
      <c r="K1876" s="4" t="s">
        <v>5921</v>
      </c>
      <c r="L1876" s="5">
        <v>18453</v>
      </c>
    </row>
    <row r="1877" spans="1:12" x14ac:dyDescent="0.25">
      <c r="A1877" s="3" t="s">
        <v>1057</v>
      </c>
      <c r="B1877" s="4" t="s">
        <v>5664</v>
      </c>
      <c r="C1877" s="4" t="s">
        <v>25</v>
      </c>
      <c r="D1877" s="4" t="s">
        <v>26</v>
      </c>
      <c r="E1877" s="5" t="str">
        <f>"9520315"</f>
        <v>9520315</v>
      </c>
      <c r="F1877" s="3" t="s">
        <v>5922</v>
      </c>
      <c r="G1877" s="5">
        <v>2104900446</v>
      </c>
      <c r="H1877" s="4" t="s">
        <v>5923</v>
      </c>
      <c r="I1877" s="4" t="s">
        <v>5735</v>
      </c>
      <c r="J1877" s="4" t="s">
        <v>5764</v>
      </c>
      <c r="K1877" s="4" t="s">
        <v>5924</v>
      </c>
      <c r="L1877" s="5">
        <v>18451</v>
      </c>
    </row>
    <row r="1878" spans="1:12" x14ac:dyDescent="0.25">
      <c r="A1878" s="3" t="s">
        <v>1057</v>
      </c>
      <c r="B1878" s="4" t="s">
        <v>5664</v>
      </c>
      <c r="C1878" s="4" t="s">
        <v>25</v>
      </c>
      <c r="D1878" s="4" t="s">
        <v>26</v>
      </c>
      <c r="E1878" s="5" t="str">
        <f>"9520218"</f>
        <v>9520218</v>
      </c>
      <c r="F1878" s="3" t="s">
        <v>5925</v>
      </c>
      <c r="G1878" s="5">
        <v>2104929609</v>
      </c>
      <c r="H1878" s="4" t="s">
        <v>5926</v>
      </c>
      <c r="I1878" s="4" t="s">
        <v>5735</v>
      </c>
      <c r="J1878" s="4" t="s">
        <v>5764</v>
      </c>
      <c r="K1878" s="4" t="s">
        <v>5927</v>
      </c>
      <c r="L1878" s="5">
        <v>18450</v>
      </c>
    </row>
    <row r="1879" spans="1:12" x14ac:dyDescent="0.25">
      <c r="A1879" s="3" t="s">
        <v>1057</v>
      </c>
      <c r="B1879" s="4" t="s">
        <v>5664</v>
      </c>
      <c r="C1879" s="4" t="s">
        <v>25</v>
      </c>
      <c r="D1879" s="4" t="s">
        <v>26</v>
      </c>
      <c r="E1879" s="5" t="str">
        <f>"9520330"</f>
        <v>9520330</v>
      </c>
      <c r="F1879" s="3" t="s">
        <v>5928</v>
      </c>
      <c r="G1879" s="5">
        <v>2104917937</v>
      </c>
      <c r="H1879" s="4" t="s">
        <v>5929</v>
      </c>
      <c r="I1879" s="4" t="s">
        <v>5735</v>
      </c>
      <c r="J1879" s="4" t="s">
        <v>5764</v>
      </c>
      <c r="K1879" s="4" t="s">
        <v>5930</v>
      </c>
      <c r="L1879" s="5">
        <v>18454</v>
      </c>
    </row>
    <row r="1880" spans="1:12" x14ac:dyDescent="0.25">
      <c r="A1880" s="3" t="s">
        <v>1057</v>
      </c>
      <c r="B1880" s="4" t="s">
        <v>5664</v>
      </c>
      <c r="C1880" s="4" t="s">
        <v>25</v>
      </c>
      <c r="D1880" s="4" t="s">
        <v>26</v>
      </c>
      <c r="E1880" s="5" t="str">
        <f>"9520257"</f>
        <v>9520257</v>
      </c>
      <c r="F1880" s="3" t="s">
        <v>5931</v>
      </c>
      <c r="G1880" s="5">
        <v>2104923469</v>
      </c>
      <c r="H1880" s="4" t="s">
        <v>5932</v>
      </c>
      <c r="I1880" s="4" t="s">
        <v>5735</v>
      </c>
      <c r="J1880" s="4" t="s">
        <v>5764</v>
      </c>
      <c r="K1880" s="4" t="s">
        <v>5930</v>
      </c>
      <c r="L1880" s="5">
        <v>18454</v>
      </c>
    </row>
    <row r="1881" spans="1:12" x14ac:dyDescent="0.25">
      <c r="A1881" s="3" t="s">
        <v>1057</v>
      </c>
      <c r="B1881" s="4" t="s">
        <v>5664</v>
      </c>
      <c r="C1881" s="4" t="s">
        <v>14</v>
      </c>
      <c r="D1881" s="4" t="s">
        <v>15</v>
      </c>
      <c r="E1881" s="5" t="str">
        <f>"9520200"</f>
        <v>9520200</v>
      </c>
      <c r="F1881" s="3" t="s">
        <v>5933</v>
      </c>
      <c r="G1881" s="5">
        <v>2104651275</v>
      </c>
      <c r="H1881" s="4" t="s">
        <v>5934</v>
      </c>
      <c r="I1881" s="4" t="s">
        <v>5819</v>
      </c>
      <c r="J1881" s="4" t="s">
        <v>5935</v>
      </c>
      <c r="K1881" s="4" t="s">
        <v>5936</v>
      </c>
      <c r="L1881" s="5">
        <v>18900</v>
      </c>
    </row>
    <row r="1882" spans="1:12" x14ac:dyDescent="0.25">
      <c r="A1882" s="3" t="s">
        <v>1057</v>
      </c>
      <c r="B1882" s="4" t="s">
        <v>5664</v>
      </c>
      <c r="C1882" s="4" t="s">
        <v>14</v>
      </c>
      <c r="D1882" s="4" t="s">
        <v>15</v>
      </c>
      <c r="E1882" s="5" t="str">
        <f>"9520050"</f>
        <v>9520050</v>
      </c>
      <c r="F1882" s="3" t="s">
        <v>5937</v>
      </c>
      <c r="G1882" s="5">
        <v>2104616067</v>
      </c>
      <c r="H1882" s="4" t="s">
        <v>5938</v>
      </c>
      <c r="I1882" s="4" t="s">
        <v>5667</v>
      </c>
      <c r="J1882" s="4" t="s">
        <v>5939</v>
      </c>
      <c r="K1882" s="4" t="s">
        <v>5940</v>
      </c>
      <c r="L1882" s="5">
        <v>18648</v>
      </c>
    </row>
    <row r="1883" spans="1:12" x14ac:dyDescent="0.25">
      <c r="A1883" s="3" t="s">
        <v>1057</v>
      </c>
      <c r="B1883" s="4" t="s">
        <v>5664</v>
      </c>
      <c r="C1883" s="4" t="s">
        <v>14</v>
      </c>
      <c r="D1883" s="4" t="s">
        <v>15</v>
      </c>
      <c r="E1883" s="5" t="str">
        <f>"9520052"</f>
        <v>9520052</v>
      </c>
      <c r="F1883" s="3" t="s">
        <v>5941</v>
      </c>
      <c r="G1883" s="5">
        <v>2104614305</v>
      </c>
      <c r="H1883" s="4" t="s">
        <v>5942</v>
      </c>
      <c r="I1883" s="4" t="s">
        <v>5667</v>
      </c>
      <c r="J1883" s="4" t="s">
        <v>5740</v>
      </c>
      <c r="K1883" s="4" t="s">
        <v>5943</v>
      </c>
      <c r="L1883" s="5">
        <v>18648</v>
      </c>
    </row>
    <row r="1884" spans="1:12" x14ac:dyDescent="0.25">
      <c r="A1884" s="3" t="s">
        <v>1057</v>
      </c>
      <c r="B1884" s="4" t="s">
        <v>5664</v>
      </c>
      <c r="C1884" s="4" t="s">
        <v>14</v>
      </c>
      <c r="D1884" s="4" t="s">
        <v>15</v>
      </c>
      <c r="E1884" s="5" t="str">
        <f>"9520090"</f>
        <v>9520090</v>
      </c>
      <c r="F1884" s="3" t="s">
        <v>5944</v>
      </c>
      <c r="G1884" s="5">
        <v>2104949032</v>
      </c>
      <c r="H1884" s="4" t="s">
        <v>5945</v>
      </c>
      <c r="I1884" s="4" t="s">
        <v>5837</v>
      </c>
      <c r="J1884" s="4" t="s">
        <v>5838</v>
      </c>
      <c r="K1884" s="4" t="s">
        <v>5946</v>
      </c>
      <c r="L1884" s="5">
        <v>18122</v>
      </c>
    </row>
    <row r="1885" spans="1:12" x14ac:dyDescent="0.25">
      <c r="A1885" s="3" t="s">
        <v>1057</v>
      </c>
      <c r="B1885" s="4" t="s">
        <v>5664</v>
      </c>
      <c r="C1885" s="4" t="s">
        <v>14</v>
      </c>
      <c r="D1885" s="4" t="s">
        <v>15</v>
      </c>
      <c r="E1885" s="5" t="str">
        <f>"9520071"</f>
        <v>9520071</v>
      </c>
      <c r="F1885" s="3" t="s">
        <v>5947</v>
      </c>
      <c r="G1885" s="5">
        <v>2104516296</v>
      </c>
      <c r="H1885" s="4" t="s">
        <v>5948</v>
      </c>
      <c r="I1885" s="4" t="s">
        <v>5699</v>
      </c>
      <c r="J1885" s="4" t="s">
        <v>5812</v>
      </c>
      <c r="K1885" s="4" t="s">
        <v>5949</v>
      </c>
      <c r="L1885" s="5">
        <v>18539</v>
      </c>
    </row>
    <row r="1886" spans="1:12" x14ac:dyDescent="0.25">
      <c r="A1886" s="3" t="s">
        <v>1057</v>
      </c>
      <c r="B1886" s="4" t="s">
        <v>5664</v>
      </c>
      <c r="C1886" s="4" t="s">
        <v>14</v>
      </c>
      <c r="D1886" s="4" t="s">
        <v>15</v>
      </c>
      <c r="E1886" s="5" t="str">
        <f>"9520086"</f>
        <v>9520086</v>
      </c>
      <c r="F1886" s="3" t="s">
        <v>5950</v>
      </c>
      <c r="G1886" s="5">
        <v>2104951998</v>
      </c>
      <c r="H1886" s="4" t="s">
        <v>5951</v>
      </c>
      <c r="I1886" s="4" t="s">
        <v>5837</v>
      </c>
      <c r="J1886" s="4" t="s">
        <v>5838</v>
      </c>
      <c r="K1886" s="4" t="s">
        <v>5952</v>
      </c>
      <c r="L1886" s="5">
        <v>18120</v>
      </c>
    </row>
    <row r="1887" spans="1:12" x14ac:dyDescent="0.25">
      <c r="A1887" s="3" t="s">
        <v>1057</v>
      </c>
      <c r="B1887" s="4" t="s">
        <v>5664</v>
      </c>
      <c r="C1887" s="4" t="s">
        <v>14</v>
      </c>
      <c r="D1887" s="4" t="s">
        <v>15</v>
      </c>
      <c r="E1887" s="5" t="str">
        <f>"9520017"</f>
        <v>9520017</v>
      </c>
      <c r="F1887" s="3" t="s">
        <v>5953</v>
      </c>
      <c r="G1887" s="5">
        <v>2104129876</v>
      </c>
      <c r="H1887" s="4" t="s">
        <v>5954</v>
      </c>
      <c r="I1887" s="4" t="s">
        <v>5699</v>
      </c>
      <c r="J1887" s="4" t="s">
        <v>5812</v>
      </c>
      <c r="K1887" s="4" t="s">
        <v>5955</v>
      </c>
      <c r="L1887" s="5">
        <v>18532</v>
      </c>
    </row>
    <row r="1888" spans="1:12" x14ac:dyDescent="0.25">
      <c r="A1888" s="3" t="s">
        <v>1057</v>
      </c>
      <c r="B1888" s="4" t="s">
        <v>5664</v>
      </c>
      <c r="C1888" s="4" t="s">
        <v>14</v>
      </c>
      <c r="D1888" s="4" t="s">
        <v>15</v>
      </c>
      <c r="E1888" s="5" t="str">
        <f>"9520141"</f>
        <v>9520141</v>
      </c>
      <c r="F1888" s="3" t="s">
        <v>5956</v>
      </c>
      <c r="G1888" s="5">
        <v>2104206233</v>
      </c>
      <c r="H1888" s="4" t="s">
        <v>5957</v>
      </c>
      <c r="I1888" s="4" t="s">
        <v>5699</v>
      </c>
      <c r="J1888" s="4" t="s">
        <v>5812</v>
      </c>
      <c r="K1888" s="4" t="s">
        <v>5958</v>
      </c>
      <c r="L1888" s="5">
        <v>18543</v>
      </c>
    </row>
    <row r="1889" spans="1:12" x14ac:dyDescent="0.25">
      <c r="A1889" s="3" t="s">
        <v>1057</v>
      </c>
      <c r="B1889" s="4" t="s">
        <v>5664</v>
      </c>
      <c r="C1889" s="4" t="s">
        <v>14</v>
      </c>
      <c r="D1889" s="4" t="s">
        <v>15</v>
      </c>
      <c r="E1889" s="5" t="str">
        <f>"9520003"</f>
        <v>9520003</v>
      </c>
      <c r="F1889" s="3" t="s">
        <v>5959</v>
      </c>
      <c r="G1889" s="5">
        <v>2103460270</v>
      </c>
      <c r="H1889" s="4" t="s">
        <v>5960</v>
      </c>
      <c r="I1889" s="4" t="s">
        <v>5735</v>
      </c>
      <c r="J1889" s="4" t="s">
        <v>5961</v>
      </c>
      <c r="K1889" s="4" t="s">
        <v>5962</v>
      </c>
      <c r="L1889" s="5">
        <v>18233</v>
      </c>
    </row>
    <row r="1890" spans="1:12" x14ac:dyDescent="0.25">
      <c r="A1890" s="3" t="s">
        <v>1057</v>
      </c>
      <c r="B1890" s="4" t="s">
        <v>5664</v>
      </c>
      <c r="C1890" s="4" t="s">
        <v>14</v>
      </c>
      <c r="D1890" s="4" t="s">
        <v>15</v>
      </c>
      <c r="E1890" s="5" t="str">
        <f>"9520084"</f>
        <v>9520084</v>
      </c>
      <c r="F1890" s="3" t="s">
        <v>5963</v>
      </c>
      <c r="G1890" s="5">
        <v>2104953106</v>
      </c>
      <c r="H1890" s="4" t="s">
        <v>5964</v>
      </c>
      <c r="I1890" s="4" t="s">
        <v>5837</v>
      </c>
      <c r="J1890" s="4" t="s">
        <v>5838</v>
      </c>
      <c r="K1890" s="4" t="s">
        <v>5965</v>
      </c>
      <c r="L1890" s="5">
        <v>18120</v>
      </c>
    </row>
    <row r="1891" spans="1:12" x14ac:dyDescent="0.25">
      <c r="A1891" s="3" t="s">
        <v>1057</v>
      </c>
      <c r="B1891" s="4" t="s">
        <v>5664</v>
      </c>
      <c r="C1891" s="4" t="s">
        <v>14</v>
      </c>
      <c r="D1891" s="4" t="s">
        <v>15</v>
      </c>
      <c r="E1891" s="5" t="str">
        <f>"9520201"</f>
        <v>9520201</v>
      </c>
      <c r="F1891" s="3" t="s">
        <v>5966</v>
      </c>
      <c r="G1891" s="5">
        <v>2104653697</v>
      </c>
      <c r="H1891" s="4" t="s">
        <v>5967</v>
      </c>
      <c r="I1891" s="4" t="s">
        <v>5819</v>
      </c>
      <c r="J1891" s="4" t="s">
        <v>5935</v>
      </c>
      <c r="K1891" s="4" t="s">
        <v>5968</v>
      </c>
      <c r="L1891" s="5">
        <v>18900</v>
      </c>
    </row>
    <row r="1892" spans="1:12" x14ac:dyDescent="0.25">
      <c r="A1892" s="3" t="s">
        <v>1057</v>
      </c>
      <c r="B1892" s="4" t="s">
        <v>5664</v>
      </c>
      <c r="C1892" s="4" t="s">
        <v>25</v>
      </c>
      <c r="D1892" s="4" t="s">
        <v>26</v>
      </c>
      <c r="E1892" s="5" t="str">
        <f>"9520258"</f>
        <v>9520258</v>
      </c>
      <c r="F1892" s="3" t="s">
        <v>5969</v>
      </c>
      <c r="G1892" s="5">
        <v>2104928305</v>
      </c>
      <c r="H1892" s="4" t="s">
        <v>5970</v>
      </c>
      <c r="I1892" s="4" t="s">
        <v>5735</v>
      </c>
      <c r="J1892" s="4" t="s">
        <v>5764</v>
      </c>
      <c r="K1892" s="4" t="s">
        <v>5971</v>
      </c>
      <c r="L1892" s="5">
        <v>18451</v>
      </c>
    </row>
    <row r="1893" spans="1:12" x14ac:dyDescent="0.25">
      <c r="A1893" s="3" t="s">
        <v>1057</v>
      </c>
      <c r="B1893" s="4" t="s">
        <v>5664</v>
      </c>
      <c r="C1893" s="4" t="s">
        <v>25</v>
      </c>
      <c r="D1893" s="4" t="s">
        <v>26</v>
      </c>
      <c r="E1893" s="5" t="str">
        <f>"9520166"</f>
        <v>9520166</v>
      </c>
      <c r="F1893" s="3" t="s">
        <v>5972</v>
      </c>
      <c r="G1893" s="5">
        <v>2104326519</v>
      </c>
      <c r="H1893" s="4" t="s">
        <v>5973</v>
      </c>
      <c r="I1893" s="4" t="s">
        <v>5667</v>
      </c>
      <c r="J1893" s="4" t="s">
        <v>5668</v>
      </c>
      <c r="K1893" s="4" t="s">
        <v>5974</v>
      </c>
      <c r="L1893" s="5">
        <v>18756</v>
      </c>
    </row>
    <row r="1894" spans="1:12" x14ac:dyDescent="0.25">
      <c r="A1894" s="3" t="s">
        <v>1057</v>
      </c>
      <c r="B1894" s="4" t="s">
        <v>5664</v>
      </c>
      <c r="C1894" s="4" t="s">
        <v>25</v>
      </c>
      <c r="D1894" s="4" t="s">
        <v>26</v>
      </c>
      <c r="E1894" s="5" t="str">
        <f>"9520225"</f>
        <v>9520225</v>
      </c>
      <c r="F1894" s="3" t="s">
        <v>5975</v>
      </c>
      <c r="G1894" s="5">
        <v>2104185422</v>
      </c>
      <c r="H1894" s="4" t="s">
        <v>5976</v>
      </c>
      <c r="I1894" s="4" t="s">
        <v>5699</v>
      </c>
      <c r="J1894" s="4" t="s">
        <v>5812</v>
      </c>
      <c r="K1894" s="4" t="s">
        <v>5977</v>
      </c>
      <c r="L1894" s="5">
        <v>18537</v>
      </c>
    </row>
    <row r="1895" spans="1:12" ht="30" x14ac:dyDescent="0.25">
      <c r="A1895" s="3" t="s">
        <v>1057</v>
      </c>
      <c r="B1895" s="4" t="s">
        <v>5664</v>
      </c>
      <c r="C1895" s="4" t="s">
        <v>25</v>
      </c>
      <c r="D1895" s="4" t="s">
        <v>26</v>
      </c>
      <c r="E1895" s="5" t="str">
        <f>"9520287"</f>
        <v>9520287</v>
      </c>
      <c r="F1895" s="3" t="s">
        <v>5978</v>
      </c>
      <c r="G1895" s="5">
        <v>2104975557</v>
      </c>
      <c r="H1895" s="4" t="s">
        <v>5979</v>
      </c>
      <c r="I1895" s="4" t="s">
        <v>5735</v>
      </c>
      <c r="J1895" s="4" t="s">
        <v>5764</v>
      </c>
      <c r="K1895" s="4" t="s">
        <v>5980</v>
      </c>
      <c r="L1895" s="5">
        <v>18452</v>
      </c>
    </row>
    <row r="1896" spans="1:12" x14ac:dyDescent="0.25">
      <c r="A1896" s="3" t="s">
        <v>1057</v>
      </c>
      <c r="B1896" s="4" t="s">
        <v>5664</v>
      </c>
      <c r="C1896" s="4" t="s">
        <v>25</v>
      </c>
      <c r="D1896" s="4" t="s">
        <v>26</v>
      </c>
      <c r="E1896" s="5" t="str">
        <f>"9520321"</f>
        <v>9520321</v>
      </c>
      <c r="F1896" s="3" t="s">
        <v>5981</v>
      </c>
      <c r="G1896" s="5">
        <v>2104965386</v>
      </c>
      <c r="H1896" s="4" t="s">
        <v>5982</v>
      </c>
      <c r="I1896" s="4" t="s">
        <v>5735</v>
      </c>
      <c r="J1896" s="4" t="s">
        <v>5764</v>
      </c>
      <c r="K1896" s="4" t="s">
        <v>5980</v>
      </c>
      <c r="L1896" s="5">
        <v>18452</v>
      </c>
    </row>
    <row r="1897" spans="1:12" x14ac:dyDescent="0.25">
      <c r="A1897" s="3" t="s">
        <v>1057</v>
      </c>
      <c r="B1897" s="4" t="s">
        <v>5664</v>
      </c>
      <c r="C1897" s="4" t="s">
        <v>14</v>
      </c>
      <c r="D1897" s="4" t="s">
        <v>15</v>
      </c>
      <c r="E1897" s="5" t="str">
        <f>"9520303"</f>
        <v>9520303</v>
      </c>
      <c r="F1897" s="3" t="s">
        <v>5983</v>
      </c>
      <c r="G1897" s="5">
        <v>2104822868</v>
      </c>
      <c r="H1897" s="4" t="s">
        <v>5984</v>
      </c>
      <c r="I1897" s="4" t="s">
        <v>5735</v>
      </c>
      <c r="J1897" s="4" t="s">
        <v>5985</v>
      </c>
      <c r="K1897" s="4" t="s">
        <v>5986</v>
      </c>
      <c r="L1897" s="5">
        <v>18233</v>
      </c>
    </row>
    <row r="1898" spans="1:12" x14ac:dyDescent="0.25">
      <c r="A1898" s="3" t="s">
        <v>1057</v>
      </c>
      <c r="B1898" s="4" t="s">
        <v>5664</v>
      </c>
      <c r="C1898" s="4" t="s">
        <v>14</v>
      </c>
      <c r="D1898" s="4" t="s">
        <v>15</v>
      </c>
      <c r="E1898" s="5" t="str">
        <f>"9520001"</f>
        <v>9520001</v>
      </c>
      <c r="F1898" s="3" t="s">
        <v>5987</v>
      </c>
      <c r="G1898" s="5">
        <v>2104814721</v>
      </c>
      <c r="H1898" s="4" t="s">
        <v>5988</v>
      </c>
      <c r="I1898" s="4" t="s">
        <v>5735</v>
      </c>
      <c r="J1898" s="4" t="s">
        <v>5961</v>
      </c>
      <c r="K1898" s="4" t="s">
        <v>5790</v>
      </c>
      <c r="L1898" s="5">
        <v>18233</v>
      </c>
    </row>
    <row r="1899" spans="1:12" x14ac:dyDescent="0.25">
      <c r="A1899" s="3" t="s">
        <v>1057</v>
      </c>
      <c r="B1899" s="4" t="s">
        <v>5664</v>
      </c>
      <c r="C1899" s="4" t="s">
        <v>25</v>
      </c>
      <c r="D1899" s="4" t="s">
        <v>26</v>
      </c>
      <c r="E1899" s="5" t="str">
        <f>"9520492"</f>
        <v>9520492</v>
      </c>
      <c r="F1899" s="3" t="s">
        <v>5989</v>
      </c>
      <c r="G1899" s="5">
        <v>2104326112</v>
      </c>
      <c r="H1899" s="4" t="s">
        <v>5990</v>
      </c>
      <c r="I1899" s="4" t="s">
        <v>5667</v>
      </c>
      <c r="J1899" s="4" t="s">
        <v>5668</v>
      </c>
      <c r="K1899" s="4" t="s">
        <v>5991</v>
      </c>
      <c r="L1899" s="5">
        <v>18757</v>
      </c>
    </row>
    <row r="1900" spans="1:12" x14ac:dyDescent="0.25">
      <c r="A1900" s="3" t="s">
        <v>1057</v>
      </c>
      <c r="B1900" s="4" t="s">
        <v>5664</v>
      </c>
      <c r="C1900" s="4" t="s">
        <v>25</v>
      </c>
      <c r="D1900" s="4" t="s">
        <v>26</v>
      </c>
      <c r="E1900" s="5" t="str">
        <f>"9520232"</f>
        <v>9520232</v>
      </c>
      <c r="F1900" s="3" t="s">
        <v>5992</v>
      </c>
      <c r="G1900" s="5">
        <v>2104933136</v>
      </c>
      <c r="H1900" s="4" t="s">
        <v>5993</v>
      </c>
      <c r="I1900" s="4" t="s">
        <v>5735</v>
      </c>
      <c r="J1900" s="4" t="s">
        <v>5764</v>
      </c>
      <c r="K1900" s="4" t="s">
        <v>5994</v>
      </c>
      <c r="L1900" s="5">
        <v>18451</v>
      </c>
    </row>
    <row r="1901" spans="1:12" x14ac:dyDescent="0.25">
      <c r="A1901" s="3" t="s">
        <v>1057</v>
      </c>
      <c r="B1901" s="4" t="s">
        <v>5664</v>
      </c>
      <c r="C1901" s="4" t="s">
        <v>14</v>
      </c>
      <c r="D1901" s="4" t="s">
        <v>15</v>
      </c>
      <c r="E1901" s="5" t="str">
        <f>"9520341"</f>
        <v>9520341</v>
      </c>
      <c r="F1901" s="3" t="s">
        <v>5995</v>
      </c>
      <c r="G1901" s="5">
        <v>2104282101</v>
      </c>
      <c r="H1901" s="4" t="s">
        <v>5996</v>
      </c>
      <c r="I1901" s="4" t="s">
        <v>5699</v>
      </c>
      <c r="J1901" s="4" t="s">
        <v>5812</v>
      </c>
      <c r="K1901" s="4" t="s">
        <v>5997</v>
      </c>
      <c r="L1901" s="5">
        <v>18538</v>
      </c>
    </row>
    <row r="1902" spans="1:12" x14ac:dyDescent="0.25">
      <c r="A1902" s="3" t="s">
        <v>1057</v>
      </c>
      <c r="B1902" s="4" t="s">
        <v>5664</v>
      </c>
      <c r="C1902" s="4" t="s">
        <v>14</v>
      </c>
      <c r="D1902" s="4" t="s">
        <v>15</v>
      </c>
      <c r="E1902" s="5" t="str">
        <f>"9520092"</f>
        <v>9520092</v>
      </c>
      <c r="F1902" s="3" t="s">
        <v>5998</v>
      </c>
      <c r="G1902" s="5">
        <v>2104958281</v>
      </c>
      <c r="H1902" s="4" t="s">
        <v>5999</v>
      </c>
      <c r="I1902" s="4" t="s">
        <v>5837</v>
      </c>
      <c r="J1902" s="4" t="s">
        <v>5838</v>
      </c>
      <c r="K1902" s="4" t="s">
        <v>6000</v>
      </c>
      <c r="L1902" s="5">
        <v>18122</v>
      </c>
    </row>
    <row r="1903" spans="1:12" x14ac:dyDescent="0.25">
      <c r="A1903" s="3" t="s">
        <v>1057</v>
      </c>
      <c r="B1903" s="4" t="s">
        <v>5664</v>
      </c>
      <c r="C1903" s="4" t="s">
        <v>25</v>
      </c>
      <c r="D1903" s="4" t="s">
        <v>26</v>
      </c>
      <c r="E1903" s="5" t="str">
        <f>"9520440"</f>
        <v>9520440</v>
      </c>
      <c r="F1903" s="3" t="s">
        <v>6001</v>
      </c>
      <c r="G1903" s="5">
        <v>2104650060</v>
      </c>
      <c r="H1903" s="4" t="s">
        <v>6002</v>
      </c>
      <c r="I1903" s="4" t="s">
        <v>5819</v>
      </c>
      <c r="J1903" s="4" t="s">
        <v>5833</v>
      </c>
      <c r="K1903" s="4" t="s">
        <v>6003</v>
      </c>
      <c r="L1903" s="5">
        <v>18900</v>
      </c>
    </row>
    <row r="1904" spans="1:12" x14ac:dyDescent="0.25">
      <c r="A1904" s="3" t="s">
        <v>1057</v>
      </c>
      <c r="B1904" s="4" t="s">
        <v>5664</v>
      </c>
      <c r="C1904" s="4" t="s">
        <v>14</v>
      </c>
      <c r="D1904" s="4" t="s">
        <v>15</v>
      </c>
      <c r="E1904" s="5" t="str">
        <f>"9520174"</f>
        <v>9520174</v>
      </c>
      <c r="F1904" s="3" t="s">
        <v>6004</v>
      </c>
      <c r="G1904" s="5">
        <v>2104411010</v>
      </c>
      <c r="H1904" s="4" t="s">
        <v>6005</v>
      </c>
      <c r="I1904" s="4" t="s">
        <v>5689</v>
      </c>
      <c r="J1904" s="4" t="s">
        <v>6006</v>
      </c>
      <c r="K1904" s="4" t="s">
        <v>6007</v>
      </c>
      <c r="L1904" s="5">
        <v>18863</v>
      </c>
    </row>
    <row r="1905" spans="1:12" x14ac:dyDescent="0.25">
      <c r="A1905" s="3" t="s">
        <v>1057</v>
      </c>
      <c r="B1905" s="4" t="s">
        <v>5664</v>
      </c>
      <c r="C1905" s="4" t="s">
        <v>14</v>
      </c>
      <c r="D1905" s="4" t="s">
        <v>15</v>
      </c>
      <c r="E1905" s="5" t="str">
        <f>"9520175"</f>
        <v>9520175</v>
      </c>
      <c r="F1905" s="3" t="s">
        <v>6008</v>
      </c>
      <c r="G1905" s="5">
        <v>2104413699</v>
      </c>
      <c r="H1905" s="4" t="s">
        <v>6009</v>
      </c>
      <c r="I1905" s="4" t="s">
        <v>5689</v>
      </c>
      <c r="J1905" s="4" t="s">
        <v>6010</v>
      </c>
      <c r="K1905" s="4" t="s">
        <v>6011</v>
      </c>
      <c r="L1905" s="5">
        <v>18863</v>
      </c>
    </row>
    <row r="1906" spans="1:12" x14ac:dyDescent="0.25">
      <c r="A1906" s="3" t="s">
        <v>1057</v>
      </c>
      <c r="B1906" s="4" t="s">
        <v>5664</v>
      </c>
      <c r="C1906" s="4" t="s">
        <v>14</v>
      </c>
      <c r="D1906" s="4" t="s">
        <v>15</v>
      </c>
      <c r="E1906" s="5" t="str">
        <f>"9520126"</f>
        <v>9520126</v>
      </c>
      <c r="F1906" s="3" t="s">
        <v>6012</v>
      </c>
      <c r="G1906" s="5">
        <v>2104912625</v>
      </c>
      <c r="H1906" s="4" t="s">
        <v>6013</v>
      </c>
      <c r="I1906" s="4" t="s">
        <v>5735</v>
      </c>
      <c r="J1906" s="4" t="s">
        <v>5736</v>
      </c>
      <c r="K1906" s="4" t="s">
        <v>6014</v>
      </c>
      <c r="L1906" s="5">
        <v>18452</v>
      </c>
    </row>
    <row r="1907" spans="1:12" x14ac:dyDescent="0.25">
      <c r="A1907" s="3" t="s">
        <v>1057</v>
      </c>
      <c r="B1907" s="4" t="s">
        <v>5664</v>
      </c>
      <c r="C1907" s="4" t="s">
        <v>14</v>
      </c>
      <c r="D1907" s="4" t="s">
        <v>15</v>
      </c>
      <c r="E1907" s="5" t="str">
        <f>"9520065"</f>
        <v>9520065</v>
      </c>
      <c r="F1907" s="3" t="s">
        <v>6015</v>
      </c>
      <c r="G1907" s="5">
        <v>2104512841</v>
      </c>
      <c r="H1907" s="4" t="s">
        <v>6016</v>
      </c>
      <c r="I1907" s="4" t="s">
        <v>5699</v>
      </c>
      <c r="J1907" s="4" t="s">
        <v>5812</v>
      </c>
      <c r="K1907" s="4" t="s">
        <v>6017</v>
      </c>
      <c r="L1907" s="5">
        <v>18538</v>
      </c>
    </row>
    <row r="1908" spans="1:12" x14ac:dyDescent="0.25">
      <c r="A1908" s="3" t="s">
        <v>1057</v>
      </c>
      <c r="B1908" s="4" t="s">
        <v>5664</v>
      </c>
      <c r="C1908" s="4" t="s">
        <v>25</v>
      </c>
      <c r="D1908" s="4" t="s">
        <v>26</v>
      </c>
      <c r="E1908" s="5" t="str">
        <f>"9520281"</f>
        <v>9520281</v>
      </c>
      <c r="F1908" s="3" t="s">
        <v>6018</v>
      </c>
      <c r="G1908" s="5">
        <v>2104957510</v>
      </c>
      <c r="H1908" s="4" t="s">
        <v>6019</v>
      </c>
      <c r="I1908" s="4" t="s">
        <v>5837</v>
      </c>
      <c r="J1908" s="4" t="s">
        <v>5837</v>
      </c>
      <c r="K1908" s="4" t="s">
        <v>6020</v>
      </c>
      <c r="L1908" s="5">
        <v>18120</v>
      </c>
    </row>
    <row r="1909" spans="1:12" x14ac:dyDescent="0.25">
      <c r="A1909" s="3" t="s">
        <v>1057</v>
      </c>
      <c r="B1909" s="4" t="s">
        <v>5664</v>
      </c>
      <c r="C1909" s="4" t="s">
        <v>14</v>
      </c>
      <c r="D1909" s="4" t="s">
        <v>15</v>
      </c>
      <c r="E1909" s="5" t="str">
        <f>"9520073"</f>
        <v>9520073</v>
      </c>
      <c r="F1909" s="3" t="s">
        <v>6021</v>
      </c>
      <c r="G1909" s="5">
        <v>2104174469</v>
      </c>
      <c r="H1909" s="4" t="s">
        <v>6022</v>
      </c>
      <c r="I1909" s="4" t="s">
        <v>5699</v>
      </c>
      <c r="J1909" s="4" t="s">
        <v>5812</v>
      </c>
      <c r="K1909" s="4" t="s">
        <v>6023</v>
      </c>
      <c r="L1909" s="5">
        <v>18534</v>
      </c>
    </row>
    <row r="1910" spans="1:12" x14ac:dyDescent="0.25">
      <c r="A1910" s="3" t="s">
        <v>1057</v>
      </c>
      <c r="B1910" s="4" t="s">
        <v>5664</v>
      </c>
      <c r="C1910" s="4" t="s">
        <v>25</v>
      </c>
      <c r="D1910" s="4" t="s">
        <v>26</v>
      </c>
      <c r="E1910" s="5" t="str">
        <f>"9520280"</f>
        <v>9520280</v>
      </c>
      <c r="F1910" s="3" t="s">
        <v>6024</v>
      </c>
      <c r="G1910" s="5">
        <v>2104967812</v>
      </c>
      <c r="H1910" s="4" t="s">
        <v>6025</v>
      </c>
      <c r="I1910" s="4" t="s">
        <v>5837</v>
      </c>
      <c r="J1910" s="4" t="s">
        <v>5837</v>
      </c>
      <c r="K1910" s="4" t="s">
        <v>6026</v>
      </c>
      <c r="L1910" s="5">
        <v>18120</v>
      </c>
    </row>
    <row r="1911" spans="1:12" x14ac:dyDescent="0.25">
      <c r="A1911" s="3" t="s">
        <v>1057</v>
      </c>
      <c r="B1911" s="4" t="s">
        <v>5664</v>
      </c>
      <c r="C1911" s="4" t="s">
        <v>25</v>
      </c>
      <c r="D1911" s="4" t="s">
        <v>26</v>
      </c>
      <c r="E1911" s="5" t="str">
        <f>"9520241"</f>
        <v>9520241</v>
      </c>
      <c r="F1911" s="3" t="s">
        <v>6027</v>
      </c>
      <c r="G1911" s="5">
        <v>2104325944</v>
      </c>
      <c r="H1911" s="4" t="s">
        <v>6028</v>
      </c>
      <c r="I1911" s="4" t="s">
        <v>5667</v>
      </c>
      <c r="J1911" s="4" t="s">
        <v>5668</v>
      </c>
      <c r="K1911" s="4" t="s">
        <v>6029</v>
      </c>
      <c r="L1911" s="5">
        <v>18758</v>
      </c>
    </row>
    <row r="1912" spans="1:12" x14ac:dyDescent="0.25">
      <c r="A1912" s="3" t="s">
        <v>1057</v>
      </c>
      <c r="B1912" s="4" t="s">
        <v>5664</v>
      </c>
      <c r="C1912" s="4" t="s">
        <v>25</v>
      </c>
      <c r="D1912" s="4" t="s">
        <v>26</v>
      </c>
      <c r="E1912" s="5" t="str">
        <f>"9520085"</f>
        <v>9520085</v>
      </c>
      <c r="F1912" s="3" t="s">
        <v>6030</v>
      </c>
      <c r="G1912" s="5">
        <v>2104962640</v>
      </c>
      <c r="H1912" s="4" t="s">
        <v>6031</v>
      </c>
      <c r="I1912" s="4" t="s">
        <v>5837</v>
      </c>
      <c r="J1912" s="4" t="s">
        <v>5838</v>
      </c>
      <c r="K1912" s="4" t="s">
        <v>6032</v>
      </c>
      <c r="L1912" s="5">
        <v>18120</v>
      </c>
    </row>
    <row r="1913" spans="1:12" x14ac:dyDescent="0.25">
      <c r="A1913" s="3" t="s">
        <v>1057</v>
      </c>
      <c r="B1913" s="4" t="s">
        <v>5664</v>
      </c>
      <c r="C1913" s="4" t="s">
        <v>14</v>
      </c>
      <c r="D1913" s="4" t="s">
        <v>15</v>
      </c>
      <c r="E1913" s="5" t="str">
        <f>"9520082"</f>
        <v>9520082</v>
      </c>
      <c r="F1913" s="3" t="s">
        <v>6033</v>
      </c>
      <c r="G1913" s="5">
        <v>2105612010</v>
      </c>
      <c r="H1913" s="4" t="s">
        <v>6034</v>
      </c>
      <c r="I1913" s="4" t="s">
        <v>5837</v>
      </c>
      <c r="J1913" s="4" t="s">
        <v>5838</v>
      </c>
      <c r="K1913" s="4" t="s">
        <v>6035</v>
      </c>
      <c r="L1913" s="5">
        <v>18121</v>
      </c>
    </row>
    <row r="1914" spans="1:12" x14ac:dyDescent="0.25">
      <c r="A1914" s="3" t="s">
        <v>1057</v>
      </c>
      <c r="B1914" s="4" t="s">
        <v>5664</v>
      </c>
      <c r="C1914" s="4" t="s">
        <v>25</v>
      </c>
      <c r="D1914" s="4" t="s">
        <v>26</v>
      </c>
      <c r="E1914" s="5" t="str">
        <f>"9520309"</f>
        <v>9520309</v>
      </c>
      <c r="F1914" s="3" t="s">
        <v>6036</v>
      </c>
      <c r="G1914" s="5">
        <v>2105612666</v>
      </c>
      <c r="H1914" s="4" t="s">
        <v>6037</v>
      </c>
      <c r="I1914" s="4" t="s">
        <v>5837</v>
      </c>
      <c r="J1914" s="4" t="s">
        <v>5838</v>
      </c>
      <c r="K1914" s="4" t="s">
        <v>6038</v>
      </c>
      <c r="L1914" s="5">
        <v>18121</v>
      </c>
    </row>
    <row r="1915" spans="1:12" x14ac:dyDescent="0.25">
      <c r="A1915" s="3" t="s">
        <v>1057</v>
      </c>
      <c r="B1915" s="4" t="s">
        <v>5664</v>
      </c>
      <c r="C1915" s="4" t="s">
        <v>14</v>
      </c>
      <c r="D1915" s="4" t="s">
        <v>15</v>
      </c>
      <c r="E1915" s="5" t="str">
        <f>"9520097"</f>
        <v>9520097</v>
      </c>
      <c r="F1915" s="3" t="s">
        <v>6039</v>
      </c>
      <c r="G1915" s="5">
        <v>2104934154</v>
      </c>
      <c r="H1915" s="4" t="s">
        <v>6040</v>
      </c>
      <c r="I1915" s="4" t="s">
        <v>5735</v>
      </c>
      <c r="J1915" s="4" t="s">
        <v>5736</v>
      </c>
      <c r="K1915" s="4" t="s">
        <v>6041</v>
      </c>
      <c r="L1915" s="5">
        <v>18452</v>
      </c>
    </row>
    <row r="1916" spans="1:12" x14ac:dyDescent="0.25">
      <c r="A1916" s="3" t="s">
        <v>1057</v>
      </c>
      <c r="B1916" s="4" t="s">
        <v>5664</v>
      </c>
      <c r="C1916" s="4" t="s">
        <v>14</v>
      </c>
      <c r="D1916" s="4" t="s">
        <v>15</v>
      </c>
      <c r="E1916" s="5" t="str">
        <f>"9520178"</f>
        <v>9520178</v>
      </c>
      <c r="F1916" s="3" t="s">
        <v>6042</v>
      </c>
      <c r="G1916" s="5">
        <v>2104315428</v>
      </c>
      <c r="H1916" s="4" t="s">
        <v>6043</v>
      </c>
      <c r="I1916" s="4" t="s">
        <v>5667</v>
      </c>
      <c r="J1916" s="4" t="s">
        <v>6044</v>
      </c>
      <c r="K1916" s="4" t="s">
        <v>6045</v>
      </c>
      <c r="L1916" s="5">
        <v>18757</v>
      </c>
    </row>
    <row r="1917" spans="1:12" x14ac:dyDescent="0.25">
      <c r="A1917" s="3" t="s">
        <v>1057</v>
      </c>
      <c r="B1917" s="4" t="s">
        <v>5664</v>
      </c>
      <c r="C1917" s="4" t="s">
        <v>14</v>
      </c>
      <c r="D1917" s="4" t="s">
        <v>15</v>
      </c>
      <c r="E1917" s="5" t="str">
        <f>"9520089"</f>
        <v>9520089</v>
      </c>
      <c r="F1917" s="3" t="s">
        <v>6046</v>
      </c>
      <c r="G1917" s="5">
        <v>2104951177</v>
      </c>
      <c r="H1917" s="4" t="s">
        <v>6047</v>
      </c>
      <c r="I1917" s="4" t="s">
        <v>5837</v>
      </c>
      <c r="J1917" s="4" t="s">
        <v>5838</v>
      </c>
      <c r="K1917" s="4" t="s">
        <v>6048</v>
      </c>
      <c r="L1917" s="5">
        <v>18122</v>
      </c>
    </row>
    <row r="1918" spans="1:12" x14ac:dyDescent="0.25">
      <c r="A1918" s="3" t="s">
        <v>1057</v>
      </c>
      <c r="B1918" s="4" t="s">
        <v>5664</v>
      </c>
      <c r="C1918" s="4" t="s">
        <v>14</v>
      </c>
      <c r="D1918" s="4" t="s">
        <v>15</v>
      </c>
      <c r="E1918" s="5" t="str">
        <f>"9520080"</f>
        <v>9520080</v>
      </c>
      <c r="F1918" s="3" t="s">
        <v>6049</v>
      </c>
      <c r="G1918" s="5">
        <v>2104973504</v>
      </c>
      <c r="H1918" s="4" t="s">
        <v>6050</v>
      </c>
      <c r="I1918" s="4" t="s">
        <v>5837</v>
      </c>
      <c r="J1918" s="4" t="s">
        <v>5838</v>
      </c>
      <c r="K1918" s="4" t="s">
        <v>6051</v>
      </c>
      <c r="L1918" s="5">
        <v>18122</v>
      </c>
    </row>
    <row r="1919" spans="1:12" x14ac:dyDescent="0.25">
      <c r="A1919" s="3" t="s">
        <v>1057</v>
      </c>
      <c r="B1919" s="4" t="s">
        <v>5664</v>
      </c>
      <c r="C1919" s="4" t="s">
        <v>14</v>
      </c>
      <c r="D1919" s="4" t="s">
        <v>15</v>
      </c>
      <c r="E1919" s="5" t="str">
        <f>"9520340"</f>
        <v>9520340</v>
      </c>
      <c r="F1919" s="3" t="s">
        <v>6052</v>
      </c>
      <c r="G1919" s="5">
        <v>2104513383</v>
      </c>
      <c r="H1919" s="4" t="s">
        <v>6053</v>
      </c>
      <c r="I1919" s="4" t="s">
        <v>5699</v>
      </c>
      <c r="J1919" s="4" t="s">
        <v>5812</v>
      </c>
      <c r="K1919" s="4" t="s">
        <v>6054</v>
      </c>
      <c r="L1919" s="5">
        <v>18537</v>
      </c>
    </row>
    <row r="1920" spans="1:12" x14ac:dyDescent="0.25">
      <c r="A1920" s="3" t="s">
        <v>1057</v>
      </c>
      <c r="B1920" s="4" t="s">
        <v>5664</v>
      </c>
      <c r="C1920" s="4" t="s">
        <v>14</v>
      </c>
      <c r="D1920" s="4" t="s">
        <v>15</v>
      </c>
      <c r="E1920" s="5" t="str">
        <f>"9520076"</f>
        <v>9520076</v>
      </c>
      <c r="F1920" s="3" t="s">
        <v>6055</v>
      </c>
      <c r="G1920" s="5">
        <v>2104615409</v>
      </c>
      <c r="H1920" s="4" t="s">
        <v>6056</v>
      </c>
      <c r="I1920" s="4" t="s">
        <v>5667</v>
      </c>
      <c r="J1920" s="4" t="s">
        <v>5740</v>
      </c>
      <c r="K1920" s="4" t="s">
        <v>6057</v>
      </c>
      <c r="L1920" s="5">
        <v>18648</v>
      </c>
    </row>
    <row r="1921" spans="1:12" x14ac:dyDescent="0.25">
      <c r="A1921" s="3" t="s">
        <v>1057</v>
      </c>
      <c r="B1921" s="4" t="s">
        <v>5664</v>
      </c>
      <c r="C1921" s="4" t="s">
        <v>14</v>
      </c>
      <c r="D1921" s="4" t="s">
        <v>15</v>
      </c>
      <c r="E1921" s="5" t="str">
        <f>"9520027"</f>
        <v>9520027</v>
      </c>
      <c r="F1921" s="3" t="s">
        <v>6058</v>
      </c>
      <c r="G1921" s="5">
        <v>2104256145</v>
      </c>
      <c r="H1921" s="4" t="s">
        <v>6059</v>
      </c>
      <c r="I1921" s="4" t="s">
        <v>5735</v>
      </c>
      <c r="J1921" s="4" t="s">
        <v>5736</v>
      </c>
      <c r="K1921" s="4" t="s">
        <v>6060</v>
      </c>
      <c r="L1921" s="5">
        <v>18450</v>
      </c>
    </row>
    <row r="1922" spans="1:12" x14ac:dyDescent="0.25">
      <c r="A1922" s="3" t="s">
        <v>1057</v>
      </c>
      <c r="B1922" s="4" t="s">
        <v>5664</v>
      </c>
      <c r="C1922" s="4" t="s">
        <v>14</v>
      </c>
      <c r="D1922" s="4" t="s">
        <v>15</v>
      </c>
      <c r="E1922" s="5" t="str">
        <f>"9520486"</f>
        <v>9520486</v>
      </c>
      <c r="F1922" s="3" t="s">
        <v>6061</v>
      </c>
      <c r="G1922" s="5">
        <v>2104815933</v>
      </c>
      <c r="H1922" s="4" t="s">
        <v>6062</v>
      </c>
      <c r="I1922" s="4" t="s">
        <v>5735</v>
      </c>
      <c r="J1922" s="4" t="s">
        <v>5961</v>
      </c>
      <c r="K1922" s="4" t="s">
        <v>6063</v>
      </c>
      <c r="L1922" s="5">
        <v>18233</v>
      </c>
    </row>
    <row r="1923" spans="1:12" x14ac:dyDescent="0.25">
      <c r="A1923" s="3" t="s">
        <v>1057</v>
      </c>
      <c r="B1923" s="4" t="s">
        <v>5664</v>
      </c>
      <c r="C1923" s="4" t="s">
        <v>25</v>
      </c>
      <c r="D1923" s="4" t="s">
        <v>26</v>
      </c>
      <c r="E1923" s="5" t="str">
        <f>"9520274"</f>
        <v>9520274</v>
      </c>
      <c r="F1923" s="3" t="s">
        <v>6064</v>
      </c>
      <c r="G1923" s="5">
        <v>2131300582</v>
      </c>
      <c r="H1923" s="4" t="s">
        <v>6065</v>
      </c>
      <c r="I1923" s="4" t="s">
        <v>5837</v>
      </c>
      <c r="J1923" s="4" t="s">
        <v>5837</v>
      </c>
      <c r="K1923" s="4" t="s">
        <v>6066</v>
      </c>
      <c r="L1923" s="5">
        <v>18122</v>
      </c>
    </row>
    <row r="1924" spans="1:12" x14ac:dyDescent="0.25">
      <c r="A1924" s="3" t="s">
        <v>1057</v>
      </c>
      <c r="B1924" s="4" t="s">
        <v>5664</v>
      </c>
      <c r="C1924" s="4" t="s">
        <v>14</v>
      </c>
      <c r="D1924" s="4" t="s">
        <v>15</v>
      </c>
      <c r="E1924" s="5" t="str">
        <f>"9520064"</f>
        <v>9520064</v>
      </c>
      <c r="F1924" s="3" t="s">
        <v>6067</v>
      </c>
      <c r="G1924" s="5">
        <v>2104512978</v>
      </c>
      <c r="H1924" s="4" t="s">
        <v>6068</v>
      </c>
      <c r="I1924" s="4" t="s">
        <v>5699</v>
      </c>
      <c r="J1924" s="4" t="s">
        <v>5812</v>
      </c>
      <c r="K1924" s="4" t="s">
        <v>6069</v>
      </c>
      <c r="L1924" s="5">
        <v>18537</v>
      </c>
    </row>
    <row r="1925" spans="1:12" x14ac:dyDescent="0.25">
      <c r="A1925" s="3" t="s">
        <v>1057</v>
      </c>
      <c r="B1925" s="4" t="s">
        <v>5664</v>
      </c>
      <c r="C1925" s="4" t="s">
        <v>14</v>
      </c>
      <c r="D1925" s="4" t="s">
        <v>15</v>
      </c>
      <c r="E1925" s="5" t="str">
        <f>"9520103"</f>
        <v>9520103</v>
      </c>
      <c r="F1925" s="3" t="s">
        <v>6070</v>
      </c>
      <c r="G1925" s="5">
        <v>2104928152</v>
      </c>
      <c r="H1925" s="4" t="s">
        <v>6071</v>
      </c>
      <c r="I1925" s="4" t="s">
        <v>5735</v>
      </c>
      <c r="J1925" s="4" t="s">
        <v>5736</v>
      </c>
      <c r="K1925" s="4" t="s">
        <v>5765</v>
      </c>
      <c r="L1925" s="5">
        <v>18451</v>
      </c>
    </row>
    <row r="1926" spans="1:12" x14ac:dyDescent="0.25">
      <c r="A1926" s="3" t="s">
        <v>1057</v>
      </c>
      <c r="B1926" s="4" t="s">
        <v>5664</v>
      </c>
      <c r="C1926" s="4" t="s">
        <v>14</v>
      </c>
      <c r="D1926" s="4" t="s">
        <v>15</v>
      </c>
      <c r="E1926" s="5" t="str">
        <f>"9520199"</f>
        <v>9520199</v>
      </c>
      <c r="F1926" s="3" t="s">
        <v>6072</v>
      </c>
      <c r="G1926" s="5">
        <v>2104651285</v>
      </c>
      <c r="H1926" s="4" t="s">
        <v>6073</v>
      </c>
      <c r="I1926" s="4" t="s">
        <v>5819</v>
      </c>
      <c r="J1926" s="4" t="s">
        <v>5935</v>
      </c>
      <c r="K1926" s="4" t="s">
        <v>6074</v>
      </c>
      <c r="L1926" s="5">
        <v>18900</v>
      </c>
    </row>
    <row r="1927" spans="1:12" x14ac:dyDescent="0.25">
      <c r="A1927" s="3" t="s">
        <v>1057</v>
      </c>
      <c r="B1927" s="4" t="s">
        <v>5664</v>
      </c>
      <c r="C1927" s="4" t="s">
        <v>14</v>
      </c>
      <c r="D1927" s="4" t="s">
        <v>15</v>
      </c>
      <c r="E1927" s="5" t="str">
        <f>"9520300"</f>
        <v>9520300</v>
      </c>
      <c r="F1927" s="3" t="s">
        <v>6075</v>
      </c>
      <c r="G1927" s="5">
        <v>2104519839</v>
      </c>
      <c r="H1927" s="4" t="s">
        <v>6076</v>
      </c>
      <c r="I1927" s="4" t="s">
        <v>5699</v>
      </c>
      <c r="J1927" s="4" t="s">
        <v>5700</v>
      </c>
      <c r="K1927" s="4" t="s">
        <v>6077</v>
      </c>
      <c r="L1927" s="5">
        <v>18537</v>
      </c>
    </row>
    <row r="1928" spans="1:12" x14ac:dyDescent="0.25">
      <c r="A1928" s="3" t="s">
        <v>1057</v>
      </c>
      <c r="B1928" s="4" t="s">
        <v>5664</v>
      </c>
      <c r="C1928" s="4" t="s">
        <v>14</v>
      </c>
      <c r="D1928" s="4" t="s">
        <v>15</v>
      </c>
      <c r="E1928" s="5" t="str">
        <f>"9520026"</f>
        <v>9520026</v>
      </c>
      <c r="F1928" s="3" t="s">
        <v>6078</v>
      </c>
      <c r="G1928" s="5">
        <v>2104201234</v>
      </c>
      <c r="H1928" s="4" t="s">
        <v>6079</v>
      </c>
      <c r="I1928" s="4" t="s">
        <v>5699</v>
      </c>
      <c r="J1928" s="4" t="s">
        <v>6080</v>
      </c>
      <c r="K1928" s="4" t="s">
        <v>6081</v>
      </c>
      <c r="L1928" s="5">
        <v>18542</v>
      </c>
    </row>
    <row r="1929" spans="1:12" x14ac:dyDescent="0.25">
      <c r="A1929" s="3" t="s">
        <v>1057</v>
      </c>
      <c r="B1929" s="4" t="s">
        <v>5664</v>
      </c>
      <c r="C1929" s="4" t="s">
        <v>25</v>
      </c>
      <c r="D1929" s="4" t="s">
        <v>26</v>
      </c>
      <c r="E1929" s="5" t="str">
        <f>"9520283"</f>
        <v>9520283</v>
      </c>
      <c r="F1929" s="3" t="s">
        <v>6082</v>
      </c>
      <c r="G1929" s="5">
        <v>2104969370</v>
      </c>
      <c r="H1929" s="4" t="s">
        <v>6083</v>
      </c>
      <c r="I1929" s="4" t="s">
        <v>5837</v>
      </c>
      <c r="J1929" s="4" t="s">
        <v>5837</v>
      </c>
      <c r="K1929" s="4" t="s">
        <v>6084</v>
      </c>
      <c r="L1929" s="5">
        <v>18122</v>
      </c>
    </row>
    <row r="1930" spans="1:12" x14ac:dyDescent="0.25">
      <c r="A1930" s="3" t="s">
        <v>1057</v>
      </c>
      <c r="B1930" s="4" t="s">
        <v>5664</v>
      </c>
      <c r="C1930" s="4" t="s">
        <v>25</v>
      </c>
      <c r="D1930" s="4" t="s">
        <v>26</v>
      </c>
      <c r="E1930" s="5" t="str">
        <f>"9520165"</f>
        <v>9520165</v>
      </c>
      <c r="F1930" s="3" t="s">
        <v>6085</v>
      </c>
      <c r="G1930" s="5">
        <v>2104014096</v>
      </c>
      <c r="H1930" s="4" t="s">
        <v>6086</v>
      </c>
      <c r="I1930" s="4" t="s">
        <v>5667</v>
      </c>
      <c r="J1930" s="4" t="s">
        <v>5668</v>
      </c>
      <c r="K1930" s="4" t="s">
        <v>6087</v>
      </c>
      <c r="L1930" s="5">
        <v>18758</v>
      </c>
    </row>
    <row r="1931" spans="1:12" x14ac:dyDescent="0.25">
      <c r="A1931" s="3" t="s">
        <v>1057</v>
      </c>
      <c r="B1931" s="4" t="s">
        <v>5664</v>
      </c>
      <c r="C1931" s="4" t="s">
        <v>25</v>
      </c>
      <c r="D1931" s="4" t="s">
        <v>26</v>
      </c>
      <c r="E1931" s="5" t="str">
        <f>"9520233"</f>
        <v>9520233</v>
      </c>
      <c r="F1931" s="3" t="s">
        <v>6088</v>
      </c>
      <c r="G1931" s="5">
        <v>2105623100</v>
      </c>
      <c r="H1931" s="4" t="s">
        <v>6089</v>
      </c>
      <c r="I1931" s="4" t="s">
        <v>5837</v>
      </c>
      <c r="J1931" s="4" t="s">
        <v>5837</v>
      </c>
      <c r="K1931" s="4" t="s">
        <v>6090</v>
      </c>
      <c r="L1931" s="5">
        <v>18121</v>
      </c>
    </row>
    <row r="1932" spans="1:12" x14ac:dyDescent="0.25">
      <c r="A1932" s="3" t="s">
        <v>1057</v>
      </c>
      <c r="B1932" s="4" t="s">
        <v>5664</v>
      </c>
      <c r="C1932" s="4" t="s">
        <v>25</v>
      </c>
      <c r="D1932" s="4" t="s">
        <v>26</v>
      </c>
      <c r="E1932" s="5" t="str">
        <f>"9520079"</f>
        <v>9520079</v>
      </c>
      <c r="F1932" s="3" t="s">
        <v>6091</v>
      </c>
      <c r="G1932" s="5">
        <v>2104974005</v>
      </c>
      <c r="H1932" s="4" t="s">
        <v>6092</v>
      </c>
      <c r="I1932" s="4" t="s">
        <v>5837</v>
      </c>
      <c r="J1932" s="4" t="s">
        <v>5837</v>
      </c>
      <c r="K1932" s="4" t="s">
        <v>6093</v>
      </c>
      <c r="L1932" s="5">
        <v>18122</v>
      </c>
    </row>
    <row r="1933" spans="1:12" x14ac:dyDescent="0.25">
      <c r="A1933" s="3" t="s">
        <v>1057</v>
      </c>
      <c r="B1933" s="4" t="s">
        <v>5664</v>
      </c>
      <c r="C1933" s="4" t="s">
        <v>14</v>
      </c>
      <c r="D1933" s="4" t="s">
        <v>15</v>
      </c>
      <c r="E1933" s="5" t="str">
        <f>"9520208"</f>
        <v>9520208</v>
      </c>
      <c r="F1933" s="3" t="s">
        <v>6094</v>
      </c>
      <c r="G1933" s="5">
        <v>2298092280</v>
      </c>
      <c r="H1933" s="4" t="s">
        <v>6095</v>
      </c>
      <c r="I1933" s="4" t="s">
        <v>6096</v>
      </c>
      <c r="J1933" s="4" t="s">
        <v>6097</v>
      </c>
      <c r="K1933" s="4" t="s">
        <v>6097</v>
      </c>
      <c r="L1933" s="5">
        <v>18030</v>
      </c>
    </row>
    <row r="1934" spans="1:12" x14ac:dyDescent="0.25">
      <c r="A1934" s="3" t="s">
        <v>1057</v>
      </c>
      <c r="B1934" s="4" t="s">
        <v>5664</v>
      </c>
      <c r="C1934" s="4" t="s">
        <v>25</v>
      </c>
      <c r="D1934" s="4" t="s">
        <v>26</v>
      </c>
      <c r="E1934" s="5" t="str">
        <f>"9520234"</f>
        <v>9520234</v>
      </c>
      <c r="F1934" s="3" t="s">
        <v>6098</v>
      </c>
      <c r="G1934" s="5">
        <v>2105623774</v>
      </c>
      <c r="H1934" s="4" t="s">
        <v>6099</v>
      </c>
      <c r="I1934" s="4" t="s">
        <v>5837</v>
      </c>
      <c r="J1934" s="4" t="s">
        <v>5837</v>
      </c>
      <c r="K1934" s="4" t="s">
        <v>6100</v>
      </c>
      <c r="L1934" s="5">
        <v>18121</v>
      </c>
    </row>
    <row r="1935" spans="1:12" x14ac:dyDescent="0.25">
      <c r="A1935" s="3" t="s">
        <v>1057</v>
      </c>
      <c r="B1935" s="4" t="s">
        <v>5664</v>
      </c>
      <c r="C1935" s="4" t="s">
        <v>14</v>
      </c>
      <c r="D1935" s="4" t="s">
        <v>15</v>
      </c>
      <c r="E1935" s="5" t="str">
        <f>"9520088"</f>
        <v>9520088</v>
      </c>
      <c r="F1935" s="3" t="s">
        <v>6101</v>
      </c>
      <c r="G1935" s="5">
        <v>2105616606</v>
      </c>
      <c r="H1935" s="4" t="s">
        <v>6102</v>
      </c>
      <c r="I1935" s="4" t="s">
        <v>5837</v>
      </c>
      <c r="J1935" s="4" t="s">
        <v>5838</v>
      </c>
      <c r="K1935" s="4" t="s">
        <v>6103</v>
      </c>
      <c r="L1935" s="5">
        <v>18121</v>
      </c>
    </row>
    <row r="1936" spans="1:12" x14ac:dyDescent="0.25">
      <c r="A1936" s="3" t="s">
        <v>1057</v>
      </c>
      <c r="B1936" s="4" t="s">
        <v>5664</v>
      </c>
      <c r="C1936" s="4" t="s">
        <v>14</v>
      </c>
      <c r="D1936" s="4" t="s">
        <v>15</v>
      </c>
      <c r="E1936" s="5" t="str">
        <f>"9520206"</f>
        <v>9520206</v>
      </c>
      <c r="F1936" s="3" t="s">
        <v>6104</v>
      </c>
      <c r="G1936" s="5">
        <v>2297022618</v>
      </c>
      <c r="H1936" s="4" t="s">
        <v>6105</v>
      </c>
      <c r="I1936" s="4" t="s">
        <v>6106</v>
      </c>
      <c r="J1936" s="4" t="s">
        <v>6107</v>
      </c>
      <c r="K1936" s="4" t="s">
        <v>6108</v>
      </c>
      <c r="L1936" s="5">
        <v>18010</v>
      </c>
    </row>
    <row r="1937" spans="1:12" x14ac:dyDescent="0.25">
      <c r="A1937" s="3" t="s">
        <v>1057</v>
      </c>
      <c r="B1937" s="4" t="s">
        <v>5664</v>
      </c>
      <c r="C1937" s="4" t="s">
        <v>14</v>
      </c>
      <c r="D1937" s="4" t="s">
        <v>15</v>
      </c>
      <c r="E1937" s="5" t="str">
        <f>"9520155"</f>
        <v>9520155</v>
      </c>
      <c r="F1937" s="3" t="s">
        <v>6109</v>
      </c>
      <c r="G1937" s="5">
        <v>2297022739</v>
      </c>
      <c r="H1937" s="4" t="s">
        <v>6110</v>
      </c>
      <c r="I1937" s="4" t="s">
        <v>6106</v>
      </c>
      <c r="J1937" s="4" t="s">
        <v>6111</v>
      </c>
      <c r="K1937" s="4" t="s">
        <v>6112</v>
      </c>
      <c r="L1937" s="5">
        <v>18010</v>
      </c>
    </row>
    <row r="1938" spans="1:12" x14ac:dyDescent="0.25">
      <c r="A1938" s="3" t="s">
        <v>1057</v>
      </c>
      <c r="B1938" s="4" t="s">
        <v>5664</v>
      </c>
      <c r="C1938" s="4" t="s">
        <v>25</v>
      </c>
      <c r="D1938" s="4" t="s">
        <v>26</v>
      </c>
      <c r="E1938" s="5" t="str">
        <f>"9520220"</f>
        <v>9520220</v>
      </c>
      <c r="F1938" s="3" t="s">
        <v>6113</v>
      </c>
      <c r="G1938" s="5">
        <v>2104915411</v>
      </c>
      <c r="H1938" s="4" t="s">
        <v>6114</v>
      </c>
      <c r="I1938" s="4" t="s">
        <v>5735</v>
      </c>
      <c r="J1938" s="4" t="s">
        <v>6115</v>
      </c>
      <c r="K1938" s="4" t="s">
        <v>6116</v>
      </c>
      <c r="L1938" s="5">
        <v>18233</v>
      </c>
    </row>
    <row r="1939" spans="1:12" x14ac:dyDescent="0.25">
      <c r="A1939" s="3" t="s">
        <v>1057</v>
      </c>
      <c r="B1939" s="4" t="s">
        <v>5664</v>
      </c>
      <c r="C1939" s="4" t="s">
        <v>14</v>
      </c>
      <c r="D1939" s="4" t="s">
        <v>15</v>
      </c>
      <c r="E1939" s="5" t="str">
        <f>"9520056"</f>
        <v>9520056</v>
      </c>
      <c r="F1939" s="3" t="s">
        <v>6117</v>
      </c>
      <c r="G1939" s="5">
        <v>2298320116</v>
      </c>
      <c r="H1939" s="4" t="s">
        <v>6118</v>
      </c>
      <c r="I1939" s="4" t="s">
        <v>6096</v>
      </c>
      <c r="J1939" s="4" t="s">
        <v>6119</v>
      </c>
      <c r="K1939" s="4" t="s">
        <v>6120</v>
      </c>
      <c r="L1939" s="5">
        <v>18020</v>
      </c>
    </row>
    <row r="1940" spans="1:12" x14ac:dyDescent="0.25">
      <c r="A1940" s="3" t="s">
        <v>1057</v>
      </c>
      <c r="B1940" s="4" t="s">
        <v>5664</v>
      </c>
      <c r="C1940" s="4" t="s">
        <v>25</v>
      </c>
      <c r="D1940" s="4" t="s">
        <v>26</v>
      </c>
      <c r="E1940" s="5" t="str">
        <f>"9520104"</f>
        <v>9520104</v>
      </c>
      <c r="F1940" s="3" t="s">
        <v>6121</v>
      </c>
      <c r="G1940" s="5">
        <v>2298025500</v>
      </c>
      <c r="H1940" s="4" t="s">
        <v>6122</v>
      </c>
      <c r="I1940" s="4" t="s">
        <v>6123</v>
      </c>
      <c r="J1940" s="4" t="s">
        <v>6123</v>
      </c>
      <c r="K1940" s="4" t="s">
        <v>6124</v>
      </c>
      <c r="L1940" s="5">
        <v>18020</v>
      </c>
    </row>
    <row r="1941" spans="1:12" x14ac:dyDescent="0.25">
      <c r="A1941" s="3" t="s">
        <v>1057</v>
      </c>
      <c r="B1941" s="4" t="s">
        <v>5664</v>
      </c>
      <c r="C1941" s="4" t="s">
        <v>25</v>
      </c>
      <c r="D1941" s="4" t="s">
        <v>26</v>
      </c>
      <c r="E1941" s="5" t="str">
        <f>"9520107"</f>
        <v>9520107</v>
      </c>
      <c r="F1941" s="3" t="s">
        <v>6125</v>
      </c>
      <c r="G1941" s="5">
        <v>2298043159</v>
      </c>
      <c r="H1941" s="4" t="s">
        <v>6126</v>
      </c>
      <c r="I1941" s="4" t="s">
        <v>6096</v>
      </c>
      <c r="J1941" s="4" t="s">
        <v>6119</v>
      </c>
      <c r="K1941" s="4" t="s">
        <v>6127</v>
      </c>
      <c r="L1941" s="5">
        <v>18020</v>
      </c>
    </row>
    <row r="1942" spans="1:12" x14ac:dyDescent="0.25">
      <c r="A1942" s="3" t="s">
        <v>1057</v>
      </c>
      <c r="B1942" s="4" t="s">
        <v>5664</v>
      </c>
      <c r="C1942" s="4" t="s">
        <v>14</v>
      </c>
      <c r="D1942" s="4" t="s">
        <v>15</v>
      </c>
      <c r="E1942" s="5" t="str">
        <f>"9520194"</f>
        <v>9520194</v>
      </c>
      <c r="F1942" s="3" t="s">
        <v>6128</v>
      </c>
      <c r="G1942" s="5">
        <v>2298022329</v>
      </c>
      <c r="H1942" s="4" t="s">
        <v>6129</v>
      </c>
      <c r="I1942" s="4" t="s">
        <v>6123</v>
      </c>
      <c r="J1942" s="4" t="s">
        <v>6130</v>
      </c>
      <c r="K1942" s="4" t="s">
        <v>6131</v>
      </c>
      <c r="L1942" s="5">
        <v>18020</v>
      </c>
    </row>
    <row r="1943" spans="1:12" x14ac:dyDescent="0.25">
      <c r="A1943" s="3" t="s">
        <v>1057</v>
      </c>
      <c r="B1943" s="4" t="s">
        <v>5664</v>
      </c>
      <c r="C1943" s="4" t="s">
        <v>14</v>
      </c>
      <c r="D1943" s="4" t="s">
        <v>15</v>
      </c>
      <c r="E1943" s="5" t="str">
        <f>"9520197"</f>
        <v>9520197</v>
      </c>
      <c r="F1943" s="3" t="s">
        <v>6132</v>
      </c>
      <c r="G1943" s="5">
        <v>2298052972</v>
      </c>
      <c r="H1943" s="4" t="s">
        <v>6133</v>
      </c>
      <c r="I1943" s="4" t="s">
        <v>6134</v>
      </c>
      <c r="J1943" s="4"/>
      <c r="K1943" s="4" t="s">
        <v>6135</v>
      </c>
      <c r="L1943" s="5">
        <v>18040</v>
      </c>
    </row>
    <row r="1944" spans="1:12" ht="30" x14ac:dyDescent="0.25">
      <c r="A1944" s="3" t="s">
        <v>1057</v>
      </c>
      <c r="B1944" s="4" t="s">
        <v>5664</v>
      </c>
      <c r="C1944" s="4" t="s">
        <v>14</v>
      </c>
      <c r="D1944" s="4" t="s">
        <v>15</v>
      </c>
      <c r="E1944" s="5" t="str">
        <f>"9520143"</f>
        <v>9520143</v>
      </c>
      <c r="F1944" s="3" t="s">
        <v>6136</v>
      </c>
      <c r="G1944" s="5">
        <v>2104615379</v>
      </c>
      <c r="H1944" s="4" t="s">
        <v>6137</v>
      </c>
      <c r="I1944" s="4" t="s">
        <v>5699</v>
      </c>
      <c r="J1944" s="4" t="s">
        <v>5700</v>
      </c>
      <c r="K1944" s="4" t="s">
        <v>6138</v>
      </c>
      <c r="L1944" s="5">
        <v>18546</v>
      </c>
    </row>
    <row r="1945" spans="1:12" x14ac:dyDescent="0.25">
      <c r="A1945" s="3" t="s">
        <v>1057</v>
      </c>
      <c r="B1945" s="4" t="s">
        <v>5664</v>
      </c>
      <c r="C1945" s="4" t="s">
        <v>14</v>
      </c>
      <c r="D1945" s="4" t="s">
        <v>15</v>
      </c>
      <c r="E1945" s="5" t="str">
        <f>"9520019"</f>
        <v>9520019</v>
      </c>
      <c r="F1945" s="3" t="s">
        <v>6139</v>
      </c>
      <c r="G1945" s="5">
        <v>2104173396</v>
      </c>
      <c r="H1945" s="4" t="s">
        <v>6140</v>
      </c>
      <c r="I1945" s="4" t="s">
        <v>5699</v>
      </c>
      <c r="J1945" s="4" t="s">
        <v>5812</v>
      </c>
      <c r="K1945" s="4" t="s">
        <v>6141</v>
      </c>
      <c r="L1945" s="5">
        <v>18534</v>
      </c>
    </row>
    <row r="1946" spans="1:12" ht="30" x14ac:dyDescent="0.25">
      <c r="A1946" s="3" t="s">
        <v>1057</v>
      </c>
      <c r="B1946" s="4" t="s">
        <v>5664</v>
      </c>
      <c r="C1946" s="4" t="s">
        <v>14</v>
      </c>
      <c r="D1946" s="4" t="s">
        <v>15</v>
      </c>
      <c r="E1946" s="5" t="str">
        <f>"9520163"</f>
        <v>9520163</v>
      </c>
      <c r="F1946" s="3" t="s">
        <v>6142</v>
      </c>
      <c r="G1946" s="5">
        <v>2297071205</v>
      </c>
      <c r="H1946" s="4" t="s">
        <v>6143</v>
      </c>
      <c r="I1946" s="4" t="s">
        <v>6106</v>
      </c>
      <c r="J1946" s="4" t="s">
        <v>6144</v>
      </c>
      <c r="K1946" s="4" t="s">
        <v>6145</v>
      </c>
      <c r="L1946" s="5">
        <v>18010</v>
      </c>
    </row>
    <row r="1947" spans="1:12" x14ac:dyDescent="0.25">
      <c r="A1947" s="3" t="s">
        <v>1057</v>
      </c>
      <c r="B1947" s="4" t="s">
        <v>5664</v>
      </c>
      <c r="C1947" s="4" t="s">
        <v>14</v>
      </c>
      <c r="D1947" s="4" t="s">
        <v>15</v>
      </c>
      <c r="E1947" s="5" t="str">
        <f>"9520207"</f>
        <v>9520207</v>
      </c>
      <c r="F1947" s="3" t="s">
        <v>6146</v>
      </c>
      <c r="G1947" s="5">
        <v>2297022143</v>
      </c>
      <c r="H1947" s="4" t="s">
        <v>6147</v>
      </c>
      <c r="I1947" s="4" t="s">
        <v>6106</v>
      </c>
      <c r="J1947" s="4" t="s">
        <v>6148</v>
      </c>
      <c r="K1947" s="4" t="s">
        <v>6149</v>
      </c>
      <c r="L1947" s="5">
        <v>18010</v>
      </c>
    </row>
    <row r="1948" spans="1:12" x14ac:dyDescent="0.25">
      <c r="A1948" s="3" t="s">
        <v>1057</v>
      </c>
      <c r="B1948" s="4" t="s">
        <v>5664</v>
      </c>
      <c r="C1948" s="4" t="s">
        <v>14</v>
      </c>
      <c r="D1948" s="4" t="s">
        <v>15</v>
      </c>
      <c r="E1948" s="5" t="str">
        <f>"9520205"</f>
        <v>9520205</v>
      </c>
      <c r="F1948" s="3" t="s">
        <v>6150</v>
      </c>
      <c r="G1948" s="5">
        <v>2297022252</v>
      </c>
      <c r="H1948" s="4" t="s">
        <v>6151</v>
      </c>
      <c r="I1948" s="4" t="s">
        <v>6106</v>
      </c>
      <c r="J1948" s="4" t="s">
        <v>6107</v>
      </c>
      <c r="K1948" s="4" t="s">
        <v>6152</v>
      </c>
      <c r="L1948" s="5">
        <v>18010</v>
      </c>
    </row>
    <row r="1949" spans="1:12" ht="30" x14ac:dyDescent="0.25">
      <c r="A1949" s="3" t="s">
        <v>1057</v>
      </c>
      <c r="B1949" s="4" t="s">
        <v>5664</v>
      </c>
      <c r="C1949" s="4" t="s">
        <v>14</v>
      </c>
      <c r="D1949" s="4" t="s">
        <v>15</v>
      </c>
      <c r="E1949" s="5" t="str">
        <f>"9520497"</f>
        <v>9520497</v>
      </c>
      <c r="F1949" s="3" t="s">
        <v>6153</v>
      </c>
      <c r="G1949" s="5">
        <v>2104412178</v>
      </c>
      <c r="H1949" s="4" t="s">
        <v>6154</v>
      </c>
      <c r="I1949" s="4" t="s">
        <v>5689</v>
      </c>
      <c r="J1949" s="4" t="s">
        <v>6006</v>
      </c>
      <c r="K1949" s="4" t="s">
        <v>6155</v>
      </c>
      <c r="L1949" s="5">
        <v>18863</v>
      </c>
    </row>
    <row r="1950" spans="1:12" ht="30" x14ac:dyDescent="0.25">
      <c r="A1950" s="3" t="s">
        <v>1057</v>
      </c>
      <c r="B1950" s="4" t="s">
        <v>5664</v>
      </c>
      <c r="C1950" s="4" t="s">
        <v>14</v>
      </c>
      <c r="D1950" s="4" t="s">
        <v>15</v>
      </c>
      <c r="E1950" s="5" t="str">
        <f>"9520002"</f>
        <v>9520002</v>
      </c>
      <c r="F1950" s="3" t="s">
        <v>6156</v>
      </c>
      <c r="G1950" s="5">
        <v>2104256250</v>
      </c>
      <c r="H1950" s="4" t="s">
        <v>6157</v>
      </c>
      <c r="I1950" s="4" t="s">
        <v>5735</v>
      </c>
      <c r="J1950" s="4" t="s">
        <v>5961</v>
      </c>
      <c r="K1950" s="4" t="s">
        <v>6158</v>
      </c>
      <c r="L1950" s="5">
        <v>18233</v>
      </c>
    </row>
    <row r="1951" spans="1:12" x14ac:dyDescent="0.25">
      <c r="A1951" s="3" t="s">
        <v>1057</v>
      </c>
      <c r="B1951" s="4" t="s">
        <v>5664</v>
      </c>
      <c r="C1951" s="4" t="s">
        <v>25</v>
      </c>
      <c r="D1951" s="4" t="s">
        <v>26</v>
      </c>
      <c r="E1951" s="5" t="str">
        <f>"9520307"</f>
        <v>9520307</v>
      </c>
      <c r="F1951" s="3" t="s">
        <v>6159</v>
      </c>
      <c r="G1951" s="5">
        <v>2104944820</v>
      </c>
      <c r="H1951" s="4" t="s">
        <v>6160</v>
      </c>
      <c r="I1951" s="4" t="s">
        <v>5837</v>
      </c>
      <c r="J1951" s="4" t="s">
        <v>5838</v>
      </c>
      <c r="K1951" s="4" t="s">
        <v>6161</v>
      </c>
      <c r="L1951" s="5">
        <v>18120</v>
      </c>
    </row>
    <row r="1952" spans="1:12" x14ac:dyDescent="0.25">
      <c r="A1952" s="3" t="s">
        <v>1057</v>
      </c>
      <c r="B1952" s="4" t="s">
        <v>5664</v>
      </c>
      <c r="C1952" s="4" t="s">
        <v>25</v>
      </c>
      <c r="D1952" s="4" t="s">
        <v>26</v>
      </c>
      <c r="E1952" s="5" t="str">
        <f>"9520731"</f>
        <v>9520731</v>
      </c>
      <c r="F1952" s="3" t="s">
        <v>6162</v>
      </c>
      <c r="G1952" s="5">
        <v>2104972162</v>
      </c>
      <c r="H1952" s="4" t="s">
        <v>6163</v>
      </c>
      <c r="I1952" s="4" t="s">
        <v>5837</v>
      </c>
      <c r="J1952" s="4" t="s">
        <v>6164</v>
      </c>
      <c r="K1952" s="4" t="s">
        <v>6165</v>
      </c>
      <c r="L1952" s="5">
        <v>18121</v>
      </c>
    </row>
    <row r="1953" spans="1:12" x14ac:dyDescent="0.25">
      <c r="A1953" s="3" t="s">
        <v>1057</v>
      </c>
      <c r="B1953" s="4" t="s">
        <v>5664</v>
      </c>
      <c r="C1953" s="4" t="s">
        <v>14</v>
      </c>
      <c r="D1953" s="4" t="s">
        <v>15</v>
      </c>
      <c r="E1953" s="5" t="str">
        <f>"9520498"</f>
        <v>9520498</v>
      </c>
      <c r="F1953" s="3" t="s">
        <v>6166</v>
      </c>
      <c r="G1953" s="5">
        <v>2104319690</v>
      </c>
      <c r="H1953" s="4" t="s">
        <v>6167</v>
      </c>
      <c r="I1953" s="4" t="s">
        <v>5667</v>
      </c>
      <c r="J1953" s="4" t="s">
        <v>6168</v>
      </c>
      <c r="K1953" s="4" t="s">
        <v>6169</v>
      </c>
      <c r="L1953" s="5">
        <v>18757</v>
      </c>
    </row>
    <row r="1954" spans="1:12" x14ac:dyDescent="0.25">
      <c r="A1954" s="3" t="s">
        <v>1057</v>
      </c>
      <c r="B1954" s="4" t="s">
        <v>5664</v>
      </c>
      <c r="C1954" s="4" t="s">
        <v>25</v>
      </c>
      <c r="D1954" s="4" t="s">
        <v>26</v>
      </c>
      <c r="E1954" s="5" t="str">
        <f>"9051758"</f>
        <v>9051758</v>
      </c>
      <c r="F1954" s="3" t="s">
        <v>6170</v>
      </c>
      <c r="G1954" s="5">
        <v>2104941488</v>
      </c>
      <c r="H1954" s="4" t="s">
        <v>6171</v>
      </c>
      <c r="I1954" s="4" t="s">
        <v>5837</v>
      </c>
      <c r="J1954" s="4" t="s">
        <v>5837</v>
      </c>
      <c r="K1954" s="4" t="s">
        <v>6172</v>
      </c>
      <c r="L1954" s="5">
        <v>18120</v>
      </c>
    </row>
    <row r="1955" spans="1:12" x14ac:dyDescent="0.25">
      <c r="A1955" s="3" t="s">
        <v>1057</v>
      </c>
      <c r="B1955" s="4" t="s">
        <v>5664</v>
      </c>
      <c r="C1955" s="4" t="s">
        <v>14</v>
      </c>
      <c r="D1955" s="4" t="s">
        <v>15</v>
      </c>
      <c r="E1955" s="5" t="str">
        <f>"9520122"</f>
        <v>9520122</v>
      </c>
      <c r="F1955" s="3" t="s">
        <v>6173</v>
      </c>
      <c r="G1955" s="5">
        <v>2104916804</v>
      </c>
      <c r="H1955" s="4" t="s">
        <v>6174</v>
      </c>
      <c r="I1955" s="4" t="s">
        <v>5735</v>
      </c>
      <c r="J1955" s="4" t="s">
        <v>5736</v>
      </c>
      <c r="K1955" s="4" t="s">
        <v>6175</v>
      </c>
      <c r="L1955" s="5">
        <v>18450</v>
      </c>
    </row>
    <row r="1956" spans="1:12" x14ac:dyDescent="0.25">
      <c r="A1956" s="3" t="s">
        <v>1057</v>
      </c>
      <c r="B1956" s="4" t="s">
        <v>5664</v>
      </c>
      <c r="C1956" s="4" t="s">
        <v>14</v>
      </c>
      <c r="D1956" s="4" t="s">
        <v>15</v>
      </c>
      <c r="E1956" s="5" t="str">
        <f>"9520173"</f>
        <v>9520173</v>
      </c>
      <c r="F1956" s="3" t="s">
        <v>6176</v>
      </c>
      <c r="G1956" s="5">
        <v>2104411400</v>
      </c>
      <c r="H1956" s="4" t="s">
        <v>6177</v>
      </c>
      <c r="I1956" s="4" t="s">
        <v>5689</v>
      </c>
      <c r="J1956" s="4" t="s">
        <v>6006</v>
      </c>
      <c r="K1956" s="4" t="s">
        <v>6178</v>
      </c>
      <c r="L1956" s="5">
        <v>18863</v>
      </c>
    </row>
    <row r="1957" spans="1:12" ht="30" x14ac:dyDescent="0.25">
      <c r="A1957" s="3" t="s">
        <v>1057</v>
      </c>
      <c r="B1957" s="4" t="s">
        <v>5664</v>
      </c>
      <c r="C1957" s="4" t="s">
        <v>14</v>
      </c>
      <c r="D1957" s="4" t="s">
        <v>452</v>
      </c>
      <c r="E1957" s="5" t="str">
        <f>"9520037"</f>
        <v>9520037</v>
      </c>
      <c r="F1957" s="3" t="s">
        <v>6179</v>
      </c>
      <c r="G1957" s="5">
        <v>2104176135</v>
      </c>
      <c r="H1957" s="4" t="s">
        <v>6180</v>
      </c>
      <c r="I1957" s="4" t="s">
        <v>5699</v>
      </c>
      <c r="J1957" s="4" t="s">
        <v>5812</v>
      </c>
      <c r="K1957" s="4" t="s">
        <v>5793</v>
      </c>
      <c r="L1957" s="5">
        <v>18533</v>
      </c>
    </row>
    <row r="1958" spans="1:12" x14ac:dyDescent="0.25">
      <c r="A1958" s="3" t="s">
        <v>1057</v>
      </c>
      <c r="B1958" s="4" t="s">
        <v>5664</v>
      </c>
      <c r="C1958" s="4" t="s">
        <v>25</v>
      </c>
      <c r="D1958" s="4" t="s">
        <v>26</v>
      </c>
      <c r="E1958" s="5" t="str">
        <f>"9520311"</f>
        <v>9520311</v>
      </c>
      <c r="F1958" s="3" t="s">
        <v>6181</v>
      </c>
      <c r="G1958" s="5">
        <v>2104965269</v>
      </c>
      <c r="H1958" s="4" t="s">
        <v>6182</v>
      </c>
      <c r="I1958" s="4" t="s">
        <v>5837</v>
      </c>
      <c r="J1958" s="4" t="s">
        <v>5837</v>
      </c>
      <c r="K1958" s="4" t="s">
        <v>6183</v>
      </c>
      <c r="L1958" s="5">
        <v>18120</v>
      </c>
    </row>
    <row r="1959" spans="1:12" x14ac:dyDescent="0.25">
      <c r="A1959" s="3" t="s">
        <v>1057</v>
      </c>
      <c r="B1959" s="4" t="s">
        <v>5664</v>
      </c>
      <c r="C1959" s="4" t="s">
        <v>14</v>
      </c>
      <c r="D1959" s="4" t="s">
        <v>15</v>
      </c>
      <c r="E1959" s="5" t="str">
        <f>"9520825"</f>
        <v>9520825</v>
      </c>
      <c r="F1959" s="3" t="s">
        <v>6184</v>
      </c>
      <c r="G1959" s="5">
        <v>2104914395</v>
      </c>
      <c r="H1959" s="4" t="s">
        <v>6185</v>
      </c>
      <c r="I1959" s="4" t="s">
        <v>5735</v>
      </c>
      <c r="J1959" s="4" t="s">
        <v>6186</v>
      </c>
      <c r="K1959" s="4" t="s">
        <v>6187</v>
      </c>
      <c r="L1959" s="5">
        <v>18233</v>
      </c>
    </row>
    <row r="1960" spans="1:12" x14ac:dyDescent="0.25">
      <c r="A1960" s="3" t="s">
        <v>1057</v>
      </c>
      <c r="B1960" s="4" t="s">
        <v>5664</v>
      </c>
      <c r="C1960" s="4" t="s">
        <v>25</v>
      </c>
      <c r="D1960" s="4" t="s">
        <v>26</v>
      </c>
      <c r="E1960" s="5" t="str">
        <f>"9051531"</f>
        <v>9051531</v>
      </c>
      <c r="F1960" s="3" t="s">
        <v>6188</v>
      </c>
      <c r="G1960" s="5">
        <v>2104970501</v>
      </c>
      <c r="H1960" s="4" t="s">
        <v>6189</v>
      </c>
      <c r="I1960" s="4" t="s">
        <v>5837</v>
      </c>
      <c r="J1960" s="4" t="s">
        <v>5837</v>
      </c>
      <c r="K1960" s="4" t="s">
        <v>6190</v>
      </c>
      <c r="L1960" s="5">
        <v>18122</v>
      </c>
    </row>
    <row r="1961" spans="1:12" x14ac:dyDescent="0.25">
      <c r="A1961" s="3" t="s">
        <v>1057</v>
      </c>
      <c r="B1961" s="4" t="s">
        <v>5664</v>
      </c>
      <c r="C1961" s="4" t="s">
        <v>14</v>
      </c>
      <c r="D1961" s="4" t="s">
        <v>15</v>
      </c>
      <c r="E1961" s="5" t="str">
        <f>"9520130"</f>
        <v>9520130</v>
      </c>
      <c r="F1961" s="3" t="s">
        <v>6191</v>
      </c>
      <c r="G1961" s="5">
        <v>2104918962</v>
      </c>
      <c r="H1961" s="4" t="s">
        <v>6192</v>
      </c>
      <c r="I1961" s="4" t="s">
        <v>5735</v>
      </c>
      <c r="J1961" s="4" t="s">
        <v>5736</v>
      </c>
      <c r="K1961" s="4" t="s">
        <v>6193</v>
      </c>
      <c r="L1961" s="5">
        <v>18451</v>
      </c>
    </row>
    <row r="1962" spans="1:12" x14ac:dyDescent="0.25">
      <c r="A1962" s="3" t="s">
        <v>1057</v>
      </c>
      <c r="B1962" s="4" t="s">
        <v>5664</v>
      </c>
      <c r="C1962" s="4" t="s">
        <v>14</v>
      </c>
      <c r="D1962" s="4" t="s">
        <v>15</v>
      </c>
      <c r="E1962" s="5" t="str">
        <f>"9520023"</f>
        <v>9520023</v>
      </c>
      <c r="F1962" s="3" t="s">
        <v>6194</v>
      </c>
      <c r="G1962" s="5">
        <v>2104178282</v>
      </c>
      <c r="H1962" s="4" t="s">
        <v>6195</v>
      </c>
      <c r="I1962" s="4" t="s">
        <v>5699</v>
      </c>
      <c r="J1962" s="4" t="s">
        <v>5812</v>
      </c>
      <c r="K1962" s="4" t="s">
        <v>5793</v>
      </c>
      <c r="L1962" s="5">
        <v>18533</v>
      </c>
    </row>
    <row r="1963" spans="1:12" x14ac:dyDescent="0.25">
      <c r="A1963" s="3" t="s">
        <v>1057</v>
      </c>
      <c r="B1963" s="4" t="s">
        <v>5664</v>
      </c>
      <c r="C1963" s="4" t="s">
        <v>14</v>
      </c>
      <c r="D1963" s="4" t="s">
        <v>15</v>
      </c>
      <c r="E1963" s="5" t="str">
        <f>"9520093"</f>
        <v>9520093</v>
      </c>
      <c r="F1963" s="3" t="s">
        <v>6196</v>
      </c>
      <c r="G1963" s="5">
        <v>2104955197</v>
      </c>
      <c r="H1963" s="4" t="s">
        <v>6197</v>
      </c>
      <c r="I1963" s="4" t="s">
        <v>5837</v>
      </c>
      <c r="J1963" s="4" t="s">
        <v>5838</v>
      </c>
      <c r="K1963" s="4" t="s">
        <v>6198</v>
      </c>
      <c r="L1963" s="5">
        <v>18122</v>
      </c>
    </row>
    <row r="1964" spans="1:12" x14ac:dyDescent="0.25">
      <c r="A1964" s="3" t="s">
        <v>1057</v>
      </c>
      <c r="B1964" s="4" t="s">
        <v>5664</v>
      </c>
      <c r="C1964" s="4" t="s">
        <v>14</v>
      </c>
      <c r="D1964" s="4" t="s">
        <v>15</v>
      </c>
      <c r="E1964" s="5" t="str">
        <f>"9520134"</f>
        <v>9520134</v>
      </c>
      <c r="F1964" s="3" t="s">
        <v>6199</v>
      </c>
      <c r="G1964" s="5">
        <v>2104916454</v>
      </c>
      <c r="H1964" s="4" t="s">
        <v>6200</v>
      </c>
      <c r="I1964" s="4" t="s">
        <v>5735</v>
      </c>
      <c r="J1964" s="4" t="s">
        <v>5736</v>
      </c>
      <c r="K1964" s="4" t="s">
        <v>6201</v>
      </c>
      <c r="L1964" s="5">
        <v>18450</v>
      </c>
    </row>
    <row r="1965" spans="1:12" ht="30" x14ac:dyDescent="0.25">
      <c r="A1965" s="3" t="s">
        <v>1057</v>
      </c>
      <c r="B1965" s="4" t="s">
        <v>5664</v>
      </c>
      <c r="C1965" s="4" t="s">
        <v>14</v>
      </c>
      <c r="D1965" s="4" t="s">
        <v>15</v>
      </c>
      <c r="E1965" s="5" t="str">
        <f>"9520203"</f>
        <v>9520203</v>
      </c>
      <c r="F1965" s="3" t="s">
        <v>6202</v>
      </c>
      <c r="G1965" s="5">
        <v>2104677290</v>
      </c>
      <c r="H1965" s="4" t="s">
        <v>6203</v>
      </c>
      <c r="I1965" s="4" t="s">
        <v>5819</v>
      </c>
      <c r="J1965" s="4" t="s">
        <v>6204</v>
      </c>
      <c r="K1965" s="4" t="s">
        <v>6205</v>
      </c>
      <c r="L1965" s="5">
        <v>18901</v>
      </c>
    </row>
    <row r="1966" spans="1:12" x14ac:dyDescent="0.25">
      <c r="A1966" s="3" t="s">
        <v>1057</v>
      </c>
      <c r="B1966" s="4" t="s">
        <v>5664</v>
      </c>
      <c r="C1966" s="4" t="s">
        <v>14</v>
      </c>
      <c r="D1966" s="4" t="s">
        <v>15</v>
      </c>
      <c r="E1966" s="5" t="str">
        <f>"9520172"</f>
        <v>9520172</v>
      </c>
      <c r="F1966" s="3" t="s">
        <v>6206</v>
      </c>
      <c r="G1966" s="5">
        <v>2104411002</v>
      </c>
      <c r="H1966" s="4" t="s">
        <v>6207</v>
      </c>
      <c r="I1966" s="4" t="s">
        <v>5689</v>
      </c>
      <c r="J1966" s="4" t="s">
        <v>6006</v>
      </c>
      <c r="K1966" s="4" t="s">
        <v>6208</v>
      </c>
      <c r="L1966" s="5">
        <v>18863</v>
      </c>
    </row>
    <row r="1967" spans="1:12" x14ac:dyDescent="0.25">
      <c r="A1967" s="3" t="s">
        <v>1057</v>
      </c>
      <c r="B1967" s="4" t="s">
        <v>5664</v>
      </c>
      <c r="C1967" s="4" t="s">
        <v>14</v>
      </c>
      <c r="D1967" s="4" t="s">
        <v>15</v>
      </c>
      <c r="E1967" s="5" t="str">
        <f>"9520009"</f>
        <v>9520009</v>
      </c>
      <c r="F1967" s="3" t="s">
        <v>6209</v>
      </c>
      <c r="G1967" s="5">
        <v>2131310934</v>
      </c>
      <c r="H1967" s="4" t="s">
        <v>6210</v>
      </c>
      <c r="I1967" s="4" t="s">
        <v>5699</v>
      </c>
      <c r="J1967" s="4" t="s">
        <v>5812</v>
      </c>
      <c r="K1967" s="4" t="s">
        <v>6211</v>
      </c>
      <c r="L1967" s="5">
        <v>18545</v>
      </c>
    </row>
    <row r="1968" spans="1:12" x14ac:dyDescent="0.25">
      <c r="A1968" s="3" t="s">
        <v>1057</v>
      </c>
      <c r="B1968" s="4" t="s">
        <v>5664</v>
      </c>
      <c r="C1968" s="4" t="s">
        <v>25</v>
      </c>
      <c r="D1968" s="4" t="s">
        <v>26</v>
      </c>
      <c r="E1968" s="5" t="str">
        <f>"9520312"</f>
        <v>9520312</v>
      </c>
      <c r="F1968" s="3" t="s">
        <v>6212</v>
      </c>
      <c r="G1968" s="5">
        <v>2104135862</v>
      </c>
      <c r="H1968" s="4" t="s">
        <v>6213</v>
      </c>
      <c r="I1968" s="4" t="s">
        <v>5699</v>
      </c>
      <c r="J1968" s="4" t="s">
        <v>5700</v>
      </c>
      <c r="K1968" s="4" t="s">
        <v>6214</v>
      </c>
      <c r="L1968" s="5">
        <v>18534</v>
      </c>
    </row>
    <row r="1969" spans="1:12" x14ac:dyDescent="0.25">
      <c r="A1969" s="3" t="s">
        <v>1057</v>
      </c>
      <c r="B1969" s="4" t="s">
        <v>5664</v>
      </c>
      <c r="C1969" s="4" t="s">
        <v>14</v>
      </c>
      <c r="D1969" s="4" t="s">
        <v>15</v>
      </c>
      <c r="E1969" s="5" t="str">
        <f>"9520063"</f>
        <v>9520063</v>
      </c>
      <c r="F1969" s="3" t="s">
        <v>6215</v>
      </c>
      <c r="G1969" s="5">
        <v>2104513227</v>
      </c>
      <c r="H1969" s="4" t="s">
        <v>6216</v>
      </c>
      <c r="I1969" s="4" t="s">
        <v>5699</v>
      </c>
      <c r="J1969" s="4" t="s">
        <v>5812</v>
      </c>
      <c r="K1969" s="4" t="s">
        <v>6217</v>
      </c>
      <c r="L1969" s="5">
        <v>18537</v>
      </c>
    </row>
    <row r="1970" spans="1:12" x14ac:dyDescent="0.25">
      <c r="A1970" s="3" t="s">
        <v>1057</v>
      </c>
      <c r="B1970" s="4" t="s">
        <v>5664</v>
      </c>
      <c r="C1970" s="4" t="s">
        <v>14</v>
      </c>
      <c r="D1970" s="4" t="s">
        <v>15</v>
      </c>
      <c r="E1970" s="5" t="str">
        <f>"9520060"</f>
        <v>9520060</v>
      </c>
      <c r="F1970" s="3" t="s">
        <v>6218</v>
      </c>
      <c r="G1970" s="5">
        <v>2104002185</v>
      </c>
      <c r="H1970" s="4" t="s">
        <v>6219</v>
      </c>
      <c r="I1970" s="4" t="s">
        <v>5667</v>
      </c>
      <c r="J1970" s="4" t="s">
        <v>6044</v>
      </c>
      <c r="K1970" s="4" t="s">
        <v>6220</v>
      </c>
      <c r="L1970" s="5">
        <v>18755</v>
      </c>
    </row>
    <row r="1971" spans="1:12" x14ac:dyDescent="0.25">
      <c r="A1971" s="3" t="s">
        <v>1057</v>
      </c>
      <c r="B1971" s="4" t="s">
        <v>5664</v>
      </c>
      <c r="C1971" s="4" t="s">
        <v>14</v>
      </c>
      <c r="D1971" s="4" t="s">
        <v>15</v>
      </c>
      <c r="E1971" s="5" t="str">
        <f>"9520024"</f>
        <v>9520024</v>
      </c>
      <c r="F1971" s="3" t="s">
        <v>6221</v>
      </c>
      <c r="G1971" s="5">
        <v>2104174232</v>
      </c>
      <c r="H1971" s="4" t="s">
        <v>6222</v>
      </c>
      <c r="I1971" s="4" t="s">
        <v>5699</v>
      </c>
      <c r="J1971" s="4" t="s">
        <v>5812</v>
      </c>
      <c r="K1971" s="4" t="s">
        <v>5809</v>
      </c>
      <c r="L1971" s="5">
        <v>18533</v>
      </c>
    </row>
    <row r="1972" spans="1:12" x14ac:dyDescent="0.25">
      <c r="A1972" s="3" t="s">
        <v>1057</v>
      </c>
      <c r="B1972" s="4" t="s">
        <v>5664</v>
      </c>
      <c r="C1972" s="4" t="s">
        <v>14</v>
      </c>
      <c r="D1972" s="4" t="s">
        <v>15</v>
      </c>
      <c r="E1972" s="5" t="str">
        <f>"9520250"</f>
        <v>9520250</v>
      </c>
      <c r="F1972" s="3" t="s">
        <v>6223</v>
      </c>
      <c r="G1972" s="5">
        <v>2104916134</v>
      </c>
      <c r="H1972" s="4" t="s">
        <v>6224</v>
      </c>
      <c r="I1972" s="4" t="s">
        <v>5735</v>
      </c>
      <c r="J1972" s="4" t="s">
        <v>5736</v>
      </c>
      <c r="K1972" s="4" t="s">
        <v>6225</v>
      </c>
      <c r="L1972" s="5">
        <v>18451</v>
      </c>
    </row>
    <row r="1973" spans="1:12" x14ac:dyDescent="0.25">
      <c r="A1973" s="3" t="s">
        <v>1057</v>
      </c>
      <c r="B1973" s="4" t="s">
        <v>5664</v>
      </c>
      <c r="C1973" s="4" t="s">
        <v>14</v>
      </c>
      <c r="D1973" s="4" t="s">
        <v>15</v>
      </c>
      <c r="E1973" s="5" t="str">
        <f>"9520101"</f>
        <v>9520101</v>
      </c>
      <c r="F1973" s="3" t="s">
        <v>6226</v>
      </c>
      <c r="G1973" s="5">
        <v>2104915709</v>
      </c>
      <c r="H1973" s="4" t="s">
        <v>6227</v>
      </c>
      <c r="I1973" s="4" t="s">
        <v>5735</v>
      </c>
      <c r="J1973" s="4" t="s">
        <v>5736</v>
      </c>
      <c r="K1973" s="4" t="s">
        <v>6228</v>
      </c>
      <c r="L1973" s="5">
        <v>18453</v>
      </c>
    </row>
    <row r="1974" spans="1:12" x14ac:dyDescent="0.25">
      <c r="A1974" s="3" t="s">
        <v>1057</v>
      </c>
      <c r="B1974" s="4" t="s">
        <v>5664</v>
      </c>
      <c r="C1974" s="4" t="s">
        <v>14</v>
      </c>
      <c r="D1974" s="4" t="s">
        <v>15</v>
      </c>
      <c r="E1974" s="5" t="str">
        <f>"9520131"</f>
        <v>9520131</v>
      </c>
      <c r="F1974" s="3" t="s">
        <v>6229</v>
      </c>
      <c r="G1974" s="5">
        <v>2104901495</v>
      </c>
      <c r="H1974" s="4" t="s">
        <v>6230</v>
      </c>
      <c r="I1974" s="4" t="s">
        <v>5735</v>
      </c>
      <c r="J1974" s="4" t="s">
        <v>5736</v>
      </c>
      <c r="K1974" s="4" t="s">
        <v>6231</v>
      </c>
      <c r="L1974" s="5">
        <v>18450</v>
      </c>
    </row>
    <row r="1975" spans="1:12" x14ac:dyDescent="0.25">
      <c r="A1975" s="3" t="s">
        <v>1057</v>
      </c>
      <c r="B1975" s="4" t="s">
        <v>5664</v>
      </c>
      <c r="C1975" s="4" t="s">
        <v>14</v>
      </c>
      <c r="D1975" s="4" t="s">
        <v>15</v>
      </c>
      <c r="E1975" s="5" t="str">
        <f>"9520102"</f>
        <v>9520102</v>
      </c>
      <c r="F1975" s="3" t="s">
        <v>6232</v>
      </c>
      <c r="G1975" s="5">
        <v>2131301879</v>
      </c>
      <c r="H1975" s="4" t="s">
        <v>6233</v>
      </c>
      <c r="I1975" s="4" t="s">
        <v>5735</v>
      </c>
      <c r="J1975" s="4" t="s">
        <v>5736</v>
      </c>
      <c r="K1975" s="4" t="s">
        <v>6234</v>
      </c>
      <c r="L1975" s="5">
        <v>18453</v>
      </c>
    </row>
    <row r="1976" spans="1:12" x14ac:dyDescent="0.25">
      <c r="A1976" s="3" t="s">
        <v>1057</v>
      </c>
      <c r="B1976" s="4" t="s">
        <v>5664</v>
      </c>
      <c r="C1976" s="4" t="s">
        <v>14</v>
      </c>
      <c r="D1976" s="4" t="s">
        <v>15</v>
      </c>
      <c r="E1976" s="5" t="str">
        <f>"9520136"</f>
        <v>9520136</v>
      </c>
      <c r="F1976" s="3" t="s">
        <v>6235</v>
      </c>
      <c r="G1976" s="5">
        <v>2104918921</v>
      </c>
      <c r="H1976" s="4" t="s">
        <v>6236</v>
      </c>
      <c r="I1976" s="4" t="s">
        <v>5735</v>
      </c>
      <c r="J1976" s="4" t="s">
        <v>5736</v>
      </c>
      <c r="K1976" s="4" t="s">
        <v>6237</v>
      </c>
      <c r="L1976" s="5">
        <v>18450</v>
      </c>
    </row>
    <row r="1977" spans="1:12" x14ac:dyDescent="0.25">
      <c r="A1977" s="3" t="s">
        <v>1057</v>
      </c>
      <c r="B1977" s="4" t="s">
        <v>5664</v>
      </c>
      <c r="C1977" s="4" t="s">
        <v>14</v>
      </c>
      <c r="D1977" s="4" t="s">
        <v>15</v>
      </c>
      <c r="E1977" s="5" t="str">
        <f>"9520124"</f>
        <v>9520124</v>
      </c>
      <c r="F1977" s="3" t="s">
        <v>6238</v>
      </c>
      <c r="G1977" s="5">
        <v>2104915168</v>
      </c>
      <c r="H1977" s="4" t="s">
        <v>6239</v>
      </c>
      <c r="I1977" s="4" t="s">
        <v>5735</v>
      </c>
      <c r="J1977" s="4" t="s">
        <v>5736</v>
      </c>
      <c r="K1977" s="4" t="s">
        <v>6240</v>
      </c>
      <c r="L1977" s="5">
        <v>18454</v>
      </c>
    </row>
    <row r="1978" spans="1:12" x14ac:dyDescent="0.25">
      <c r="A1978" s="3" t="s">
        <v>1057</v>
      </c>
      <c r="B1978" s="4" t="s">
        <v>5664</v>
      </c>
      <c r="C1978" s="4" t="s">
        <v>14</v>
      </c>
      <c r="D1978" s="4" t="s">
        <v>15</v>
      </c>
      <c r="E1978" s="5" t="str">
        <f>"9520125"</f>
        <v>9520125</v>
      </c>
      <c r="F1978" s="3" t="s">
        <v>6241</v>
      </c>
      <c r="G1978" s="5">
        <v>2104912873</v>
      </c>
      <c r="H1978" s="4" t="s">
        <v>6242</v>
      </c>
      <c r="I1978" s="4" t="s">
        <v>5735</v>
      </c>
      <c r="J1978" s="4" t="s">
        <v>5736</v>
      </c>
      <c r="K1978" s="4" t="s">
        <v>6243</v>
      </c>
      <c r="L1978" s="5">
        <v>18451</v>
      </c>
    </row>
    <row r="1979" spans="1:12" x14ac:dyDescent="0.25">
      <c r="A1979" s="3" t="s">
        <v>1057</v>
      </c>
      <c r="B1979" s="4" t="s">
        <v>5664</v>
      </c>
      <c r="C1979" s="4" t="s">
        <v>14</v>
      </c>
      <c r="D1979" s="4" t="s">
        <v>15</v>
      </c>
      <c r="E1979" s="5" t="str">
        <f>"9520127"</f>
        <v>9520127</v>
      </c>
      <c r="F1979" s="3" t="s">
        <v>6244</v>
      </c>
      <c r="G1979" s="5">
        <v>2104934304</v>
      </c>
      <c r="H1979" s="4" t="s">
        <v>6245</v>
      </c>
      <c r="I1979" s="4" t="s">
        <v>5735</v>
      </c>
      <c r="J1979" s="4" t="s">
        <v>5736</v>
      </c>
      <c r="K1979" s="4" t="s">
        <v>5914</v>
      </c>
      <c r="L1979" s="5">
        <v>18450</v>
      </c>
    </row>
    <row r="1980" spans="1:12" x14ac:dyDescent="0.25">
      <c r="A1980" s="3" t="s">
        <v>1057</v>
      </c>
      <c r="B1980" s="4" t="s">
        <v>5664</v>
      </c>
      <c r="C1980" s="4" t="s">
        <v>14</v>
      </c>
      <c r="D1980" s="4" t="s">
        <v>15</v>
      </c>
      <c r="E1980" s="5" t="str">
        <f>"9520030"</f>
        <v>9520030</v>
      </c>
      <c r="F1980" s="3" t="s">
        <v>6246</v>
      </c>
      <c r="G1980" s="5">
        <v>2104914718</v>
      </c>
      <c r="H1980" s="4" t="s">
        <v>6247</v>
      </c>
      <c r="I1980" s="4" t="s">
        <v>5699</v>
      </c>
      <c r="J1980" s="4" t="s">
        <v>5812</v>
      </c>
      <c r="K1980" s="4" t="s">
        <v>6248</v>
      </c>
      <c r="L1980" s="5">
        <v>18542</v>
      </c>
    </row>
    <row r="1981" spans="1:12" x14ac:dyDescent="0.25">
      <c r="A1981" s="3" t="s">
        <v>1057</v>
      </c>
      <c r="B1981" s="4" t="s">
        <v>5664</v>
      </c>
      <c r="C1981" s="4" t="s">
        <v>14</v>
      </c>
      <c r="D1981" s="4" t="s">
        <v>15</v>
      </c>
      <c r="E1981" s="5" t="str">
        <f>"9520011"</f>
        <v>9520011</v>
      </c>
      <c r="F1981" s="3" t="s">
        <v>6249</v>
      </c>
      <c r="G1981" s="5">
        <v>2104252304</v>
      </c>
      <c r="H1981" s="4" t="s">
        <v>6250</v>
      </c>
      <c r="I1981" s="4" t="s">
        <v>5699</v>
      </c>
      <c r="J1981" s="4" t="s">
        <v>5812</v>
      </c>
      <c r="K1981" s="4" t="s">
        <v>6251</v>
      </c>
      <c r="L1981" s="5">
        <v>18542</v>
      </c>
    </row>
    <row r="1982" spans="1:12" x14ac:dyDescent="0.25">
      <c r="A1982" s="3" t="s">
        <v>1057</v>
      </c>
      <c r="B1982" s="4" t="s">
        <v>5664</v>
      </c>
      <c r="C1982" s="4" t="s">
        <v>14</v>
      </c>
      <c r="D1982" s="4" t="s">
        <v>15</v>
      </c>
      <c r="E1982" s="5" t="str">
        <f>"9520012"</f>
        <v>9520012</v>
      </c>
      <c r="F1982" s="3" t="s">
        <v>6252</v>
      </c>
      <c r="G1982" s="5">
        <v>2104812321</v>
      </c>
      <c r="H1982" s="4" t="s">
        <v>6253</v>
      </c>
      <c r="I1982" s="4" t="s">
        <v>5699</v>
      </c>
      <c r="J1982" s="4" t="s">
        <v>5812</v>
      </c>
      <c r="K1982" s="4" t="s">
        <v>5867</v>
      </c>
      <c r="L1982" s="5">
        <v>18541</v>
      </c>
    </row>
    <row r="1983" spans="1:12" x14ac:dyDescent="0.25">
      <c r="A1983" s="3" t="s">
        <v>1057</v>
      </c>
      <c r="B1983" s="4" t="s">
        <v>5664</v>
      </c>
      <c r="C1983" s="4" t="s">
        <v>25</v>
      </c>
      <c r="D1983" s="4" t="s">
        <v>26</v>
      </c>
      <c r="E1983" s="5" t="str">
        <f>"9520373"</f>
        <v>9520373</v>
      </c>
      <c r="F1983" s="3" t="s">
        <v>6254</v>
      </c>
      <c r="G1983" s="5">
        <v>2104824787</v>
      </c>
      <c r="H1983" s="4" t="s">
        <v>6255</v>
      </c>
      <c r="I1983" s="4" t="s">
        <v>5735</v>
      </c>
      <c r="J1983" s="4" t="s">
        <v>6256</v>
      </c>
      <c r="K1983" s="4" t="s">
        <v>6257</v>
      </c>
      <c r="L1983" s="5">
        <v>18233</v>
      </c>
    </row>
    <row r="1984" spans="1:12" x14ac:dyDescent="0.25">
      <c r="A1984" s="3" t="s">
        <v>1057</v>
      </c>
      <c r="B1984" s="4" t="s">
        <v>5664</v>
      </c>
      <c r="C1984" s="4" t="s">
        <v>25</v>
      </c>
      <c r="D1984" s="4" t="s">
        <v>26</v>
      </c>
      <c r="E1984" s="5" t="str">
        <f>"9520362"</f>
        <v>9520362</v>
      </c>
      <c r="F1984" s="3" t="s">
        <v>6258</v>
      </c>
      <c r="G1984" s="5">
        <v>2104662951</v>
      </c>
      <c r="H1984" s="4" t="s">
        <v>6259</v>
      </c>
      <c r="I1984" s="4" t="s">
        <v>5819</v>
      </c>
      <c r="J1984" s="4" t="s">
        <v>6260</v>
      </c>
      <c r="K1984" s="4" t="s">
        <v>6261</v>
      </c>
      <c r="L1984" s="5">
        <v>18903</v>
      </c>
    </row>
    <row r="1985" spans="1:12" x14ac:dyDescent="0.25">
      <c r="A1985" s="3" t="s">
        <v>1057</v>
      </c>
      <c r="B1985" s="4" t="s">
        <v>5664</v>
      </c>
      <c r="C1985" s="4" t="s">
        <v>14</v>
      </c>
      <c r="D1985" s="4" t="s">
        <v>15</v>
      </c>
      <c r="E1985" s="5" t="str">
        <f>"9520301"</f>
        <v>9520301</v>
      </c>
      <c r="F1985" s="3" t="s">
        <v>6262</v>
      </c>
      <c r="G1985" s="5">
        <v>2104910187</v>
      </c>
      <c r="H1985" s="4" t="s">
        <v>6263</v>
      </c>
      <c r="I1985" s="4" t="s">
        <v>5735</v>
      </c>
      <c r="J1985" s="4" t="s">
        <v>5736</v>
      </c>
      <c r="K1985" s="4" t="s">
        <v>6264</v>
      </c>
      <c r="L1985" s="5">
        <v>18451</v>
      </c>
    </row>
    <row r="1986" spans="1:12" x14ac:dyDescent="0.25">
      <c r="A1986" s="3" t="s">
        <v>1057</v>
      </c>
      <c r="B1986" s="4" t="s">
        <v>5664</v>
      </c>
      <c r="C1986" s="4" t="s">
        <v>14</v>
      </c>
      <c r="D1986" s="4" t="s">
        <v>15</v>
      </c>
      <c r="E1986" s="5" t="str">
        <f>"9520083"</f>
        <v>9520083</v>
      </c>
      <c r="F1986" s="3" t="s">
        <v>6265</v>
      </c>
      <c r="G1986" s="5">
        <v>2105616476</v>
      </c>
      <c r="H1986" s="4" t="s">
        <v>6266</v>
      </c>
      <c r="I1986" s="4" t="s">
        <v>5837</v>
      </c>
      <c r="J1986" s="4" t="s">
        <v>5838</v>
      </c>
      <c r="K1986" s="4" t="s">
        <v>6267</v>
      </c>
      <c r="L1986" s="5">
        <v>18121</v>
      </c>
    </row>
    <row r="1987" spans="1:12" x14ac:dyDescent="0.25">
      <c r="A1987" s="3" t="s">
        <v>1057</v>
      </c>
      <c r="B1987" s="4" t="s">
        <v>5664</v>
      </c>
      <c r="C1987" s="4" t="s">
        <v>14</v>
      </c>
      <c r="D1987" s="4" t="s">
        <v>15</v>
      </c>
      <c r="E1987" s="5" t="str">
        <f>"9520013"</f>
        <v>9520013</v>
      </c>
      <c r="F1987" s="3" t="s">
        <v>6268</v>
      </c>
      <c r="G1987" s="5">
        <v>2104127003</v>
      </c>
      <c r="H1987" s="4" t="s">
        <v>6269</v>
      </c>
      <c r="I1987" s="4" t="s">
        <v>5699</v>
      </c>
      <c r="J1987" s="4" t="s">
        <v>5812</v>
      </c>
      <c r="K1987" s="4" t="s">
        <v>6270</v>
      </c>
      <c r="L1987" s="5">
        <v>18540</v>
      </c>
    </row>
    <row r="1988" spans="1:12" x14ac:dyDescent="0.25">
      <c r="A1988" s="3" t="s">
        <v>1057</v>
      </c>
      <c r="B1988" s="4" t="s">
        <v>5664</v>
      </c>
      <c r="C1988" s="4" t="s">
        <v>25</v>
      </c>
      <c r="D1988" s="4" t="s">
        <v>26</v>
      </c>
      <c r="E1988" s="5" t="str">
        <f>"9520441"</f>
        <v>9520441</v>
      </c>
      <c r="F1988" s="3" t="s">
        <v>6271</v>
      </c>
      <c r="G1988" s="5">
        <v>2104686910</v>
      </c>
      <c r="H1988" s="4" t="s">
        <v>6272</v>
      </c>
      <c r="I1988" s="4" t="s">
        <v>5819</v>
      </c>
      <c r="J1988" s="4" t="s">
        <v>6273</v>
      </c>
      <c r="K1988" s="4" t="s">
        <v>6274</v>
      </c>
      <c r="L1988" s="5">
        <v>18900</v>
      </c>
    </row>
    <row r="1989" spans="1:12" x14ac:dyDescent="0.25">
      <c r="A1989" s="3" t="s">
        <v>1057</v>
      </c>
      <c r="B1989" s="4" t="s">
        <v>5664</v>
      </c>
      <c r="C1989" s="4" t="s">
        <v>14</v>
      </c>
      <c r="D1989" s="4" t="s">
        <v>15</v>
      </c>
      <c r="E1989" s="5" t="str">
        <f>"9520457"</f>
        <v>9520457</v>
      </c>
      <c r="F1989" s="3" t="s">
        <v>6275</v>
      </c>
      <c r="G1989" s="5">
        <v>2104328468</v>
      </c>
      <c r="H1989" s="4" t="s">
        <v>6276</v>
      </c>
      <c r="I1989" s="4" t="s">
        <v>5667</v>
      </c>
      <c r="J1989" s="4" t="s">
        <v>6168</v>
      </c>
      <c r="K1989" s="4" t="s">
        <v>6277</v>
      </c>
      <c r="L1989" s="5">
        <v>18758</v>
      </c>
    </row>
    <row r="1990" spans="1:12" x14ac:dyDescent="0.25">
      <c r="A1990" s="3" t="s">
        <v>1057</v>
      </c>
      <c r="B1990" s="4" t="s">
        <v>5664</v>
      </c>
      <c r="C1990" s="4" t="s">
        <v>25</v>
      </c>
      <c r="D1990" s="4" t="s">
        <v>26</v>
      </c>
      <c r="E1990" s="5" t="str">
        <f>"9520296"</f>
        <v>9520296</v>
      </c>
      <c r="F1990" s="3" t="s">
        <v>6278</v>
      </c>
      <c r="G1990" s="5">
        <v>2114086801</v>
      </c>
      <c r="H1990" s="4" t="s">
        <v>6279</v>
      </c>
      <c r="I1990" s="4" t="s">
        <v>5819</v>
      </c>
      <c r="J1990" s="4" t="s">
        <v>6280</v>
      </c>
      <c r="K1990" s="4" t="s">
        <v>6281</v>
      </c>
      <c r="L1990" s="5">
        <v>18901</v>
      </c>
    </row>
    <row r="1991" spans="1:12" x14ac:dyDescent="0.25">
      <c r="A1991" s="3" t="s">
        <v>1057</v>
      </c>
      <c r="B1991" s="4" t="s">
        <v>5664</v>
      </c>
      <c r="C1991" s="4" t="s">
        <v>25</v>
      </c>
      <c r="D1991" s="4" t="s">
        <v>26</v>
      </c>
      <c r="E1991" s="5" t="str">
        <f>"9520189"</f>
        <v>9520189</v>
      </c>
      <c r="F1991" s="3" t="s">
        <v>6282</v>
      </c>
      <c r="G1991" s="5">
        <v>2104673010</v>
      </c>
      <c r="H1991" s="4" t="s">
        <v>6283</v>
      </c>
      <c r="I1991" s="4" t="s">
        <v>5819</v>
      </c>
      <c r="J1991" s="4" t="s">
        <v>6284</v>
      </c>
      <c r="K1991" s="4" t="s">
        <v>6285</v>
      </c>
      <c r="L1991" s="5">
        <v>18902</v>
      </c>
    </row>
    <row r="1992" spans="1:12" x14ac:dyDescent="0.25">
      <c r="A1992" s="3" t="s">
        <v>1057</v>
      </c>
      <c r="B1992" s="4" t="s">
        <v>5664</v>
      </c>
      <c r="C1992" s="4" t="s">
        <v>14</v>
      </c>
      <c r="D1992" s="4" t="s">
        <v>15</v>
      </c>
      <c r="E1992" s="5" t="str">
        <f>"9520193"</f>
        <v>9520193</v>
      </c>
      <c r="F1992" s="3" t="s">
        <v>6286</v>
      </c>
      <c r="G1992" s="5">
        <v>2298022388</v>
      </c>
      <c r="H1992" s="4" t="s">
        <v>6287</v>
      </c>
      <c r="I1992" s="4" t="s">
        <v>6123</v>
      </c>
      <c r="J1992" s="4" t="s">
        <v>6124</v>
      </c>
      <c r="K1992" s="4" t="s">
        <v>6288</v>
      </c>
      <c r="L1992" s="5">
        <v>18020</v>
      </c>
    </row>
    <row r="1993" spans="1:12" x14ac:dyDescent="0.25">
      <c r="A1993" s="3" t="s">
        <v>1057</v>
      </c>
      <c r="B1993" s="4" t="s">
        <v>5664</v>
      </c>
      <c r="C1993" s="4" t="s">
        <v>14</v>
      </c>
      <c r="D1993" s="4" t="s">
        <v>15</v>
      </c>
      <c r="E1993" s="5" t="str">
        <f>"9520096"</f>
        <v>9520096</v>
      </c>
      <c r="F1993" s="3" t="s">
        <v>6289</v>
      </c>
      <c r="G1993" s="5">
        <v>2104953025</v>
      </c>
      <c r="H1993" s="4" t="s">
        <v>6290</v>
      </c>
      <c r="I1993" s="4" t="s">
        <v>5735</v>
      </c>
      <c r="J1993" s="4" t="s">
        <v>5736</v>
      </c>
      <c r="K1993" s="4" t="s">
        <v>5737</v>
      </c>
      <c r="L1993" s="5">
        <v>18454</v>
      </c>
    </row>
    <row r="1994" spans="1:12" x14ac:dyDescent="0.25">
      <c r="A1994" s="3" t="s">
        <v>1057</v>
      </c>
      <c r="B1994" s="4" t="s">
        <v>5664</v>
      </c>
      <c r="C1994" s="4" t="s">
        <v>14</v>
      </c>
      <c r="D1994" s="4" t="s">
        <v>15</v>
      </c>
      <c r="E1994" s="5" t="str">
        <f>"9520015"</f>
        <v>9520015</v>
      </c>
      <c r="F1994" s="3" t="s">
        <v>6291</v>
      </c>
      <c r="G1994" s="5">
        <v>2104813619</v>
      </c>
      <c r="H1994" s="4" t="s">
        <v>6292</v>
      </c>
      <c r="I1994" s="4" t="s">
        <v>5699</v>
      </c>
      <c r="J1994" s="4" t="s">
        <v>5812</v>
      </c>
      <c r="K1994" s="4" t="s">
        <v>6293</v>
      </c>
      <c r="L1994" s="5">
        <v>18541</v>
      </c>
    </row>
    <row r="1995" spans="1:12" x14ac:dyDescent="0.25">
      <c r="A1995" s="3" t="s">
        <v>1057</v>
      </c>
      <c r="B1995" s="4" t="s">
        <v>5664</v>
      </c>
      <c r="C1995" s="4" t="s">
        <v>14</v>
      </c>
      <c r="D1995" s="4" t="s">
        <v>15</v>
      </c>
      <c r="E1995" s="5" t="str">
        <f>"9520453"</f>
        <v>9520453</v>
      </c>
      <c r="F1995" s="3" t="s">
        <v>6294</v>
      </c>
      <c r="G1995" s="5">
        <v>2104903030</v>
      </c>
      <c r="H1995" s="4" t="s">
        <v>6295</v>
      </c>
      <c r="I1995" s="4" t="s">
        <v>5735</v>
      </c>
      <c r="J1995" s="4" t="s">
        <v>5736</v>
      </c>
      <c r="K1995" s="4" t="s">
        <v>6296</v>
      </c>
      <c r="L1995" s="5">
        <v>18452</v>
      </c>
    </row>
    <row r="1996" spans="1:12" x14ac:dyDescent="0.25">
      <c r="A1996" s="3" t="s">
        <v>1057</v>
      </c>
      <c r="B1996" s="4" t="s">
        <v>5664</v>
      </c>
      <c r="C1996" s="4" t="s">
        <v>14</v>
      </c>
      <c r="D1996" s="4" t="s">
        <v>15</v>
      </c>
      <c r="E1996" s="5" t="str">
        <f>"9520016"</f>
        <v>9520016</v>
      </c>
      <c r="F1996" s="3" t="s">
        <v>6297</v>
      </c>
      <c r="G1996" s="5">
        <v>2104203006</v>
      </c>
      <c r="H1996" s="4" t="s">
        <v>6298</v>
      </c>
      <c r="I1996" s="4" t="s">
        <v>5699</v>
      </c>
      <c r="J1996" s="4" t="s">
        <v>5812</v>
      </c>
      <c r="K1996" s="4" t="s">
        <v>6299</v>
      </c>
      <c r="L1996" s="5">
        <v>18543</v>
      </c>
    </row>
    <row r="1997" spans="1:12" x14ac:dyDescent="0.25">
      <c r="A1997" s="3" t="s">
        <v>1057</v>
      </c>
      <c r="B1997" s="4" t="s">
        <v>5664</v>
      </c>
      <c r="C1997" s="4" t="s">
        <v>14</v>
      </c>
      <c r="D1997" s="4" t="s">
        <v>15</v>
      </c>
      <c r="E1997" s="5" t="str">
        <f>"9520454"</f>
        <v>9520454</v>
      </c>
      <c r="F1997" s="3" t="s">
        <v>6300</v>
      </c>
      <c r="G1997" s="5">
        <v>2104962666</v>
      </c>
      <c r="H1997" s="4" t="s">
        <v>6301</v>
      </c>
      <c r="I1997" s="4" t="s">
        <v>5735</v>
      </c>
      <c r="J1997" s="4" t="s">
        <v>6302</v>
      </c>
      <c r="K1997" s="4" t="s">
        <v>6303</v>
      </c>
      <c r="L1997" s="5">
        <v>18452</v>
      </c>
    </row>
    <row r="1998" spans="1:12" x14ac:dyDescent="0.25">
      <c r="A1998" s="3" t="s">
        <v>1057</v>
      </c>
      <c r="B1998" s="4" t="s">
        <v>5664</v>
      </c>
      <c r="C1998" s="4" t="s">
        <v>14</v>
      </c>
      <c r="D1998" s="4" t="s">
        <v>15</v>
      </c>
      <c r="E1998" s="5" t="str">
        <f>"9520099"</f>
        <v>9520099</v>
      </c>
      <c r="F1998" s="3" t="s">
        <v>6304</v>
      </c>
      <c r="G1998" s="5">
        <v>2104972023</v>
      </c>
      <c r="H1998" s="4" t="s">
        <v>6305</v>
      </c>
      <c r="I1998" s="4" t="s">
        <v>5735</v>
      </c>
      <c r="J1998" s="4" t="s">
        <v>6306</v>
      </c>
      <c r="K1998" s="4" t="s">
        <v>6307</v>
      </c>
      <c r="L1998" s="5">
        <v>18452</v>
      </c>
    </row>
    <row r="1999" spans="1:12" x14ac:dyDescent="0.25">
      <c r="A1999" s="3" t="s">
        <v>1057</v>
      </c>
      <c r="B1999" s="4" t="s">
        <v>5664</v>
      </c>
      <c r="C1999" s="4" t="s">
        <v>14</v>
      </c>
      <c r="D1999" s="4" t="s">
        <v>15</v>
      </c>
      <c r="E1999" s="5" t="str">
        <f>"9520028"</f>
        <v>9520028</v>
      </c>
      <c r="F1999" s="3" t="s">
        <v>6308</v>
      </c>
      <c r="G1999" s="5">
        <v>2104209616</v>
      </c>
      <c r="H1999" s="4" t="s">
        <v>6309</v>
      </c>
      <c r="I1999" s="4" t="s">
        <v>5699</v>
      </c>
      <c r="J1999" s="4" t="s">
        <v>5812</v>
      </c>
      <c r="K1999" s="4" t="s">
        <v>6310</v>
      </c>
      <c r="L1999" s="5">
        <v>18541</v>
      </c>
    </row>
    <row r="2000" spans="1:12" x14ac:dyDescent="0.25">
      <c r="A2000" s="3" t="s">
        <v>1057</v>
      </c>
      <c r="B2000" s="4" t="s">
        <v>5664</v>
      </c>
      <c r="C2000" s="4" t="s">
        <v>14</v>
      </c>
      <c r="D2000" s="4" t="s">
        <v>15</v>
      </c>
      <c r="E2000" s="5" t="str">
        <f>"9520191"</f>
        <v>9520191</v>
      </c>
      <c r="F2000" s="3" t="s">
        <v>6311</v>
      </c>
      <c r="G2000" s="5">
        <v>2104677280</v>
      </c>
      <c r="H2000" s="4" t="s">
        <v>6312</v>
      </c>
      <c r="I2000" s="4" t="s">
        <v>5819</v>
      </c>
      <c r="J2000" s="4" t="s">
        <v>6313</v>
      </c>
      <c r="K2000" s="4" t="s">
        <v>6314</v>
      </c>
      <c r="L2000" s="5">
        <v>18901</v>
      </c>
    </row>
    <row r="2001" spans="1:12" x14ac:dyDescent="0.25">
      <c r="A2001" s="3" t="s">
        <v>1057</v>
      </c>
      <c r="B2001" s="4" t="s">
        <v>5664</v>
      </c>
      <c r="C2001" s="4" t="s">
        <v>14</v>
      </c>
      <c r="D2001" s="4" t="s">
        <v>15</v>
      </c>
      <c r="E2001" s="5" t="str">
        <f>"9520333"</f>
        <v>9520333</v>
      </c>
      <c r="F2001" s="3" t="s">
        <v>6315</v>
      </c>
      <c r="G2001" s="5">
        <v>2104209506</v>
      </c>
      <c r="H2001" s="4" t="s">
        <v>6316</v>
      </c>
      <c r="I2001" s="4" t="s">
        <v>5699</v>
      </c>
      <c r="J2001" s="4" t="s">
        <v>5812</v>
      </c>
      <c r="K2001" s="4" t="s">
        <v>6317</v>
      </c>
      <c r="L2001" s="5">
        <v>18541</v>
      </c>
    </row>
    <row r="2002" spans="1:12" x14ac:dyDescent="0.25">
      <c r="A2002" s="3" t="s">
        <v>1057</v>
      </c>
      <c r="B2002" s="4" t="s">
        <v>5664</v>
      </c>
      <c r="C2002" s="4" t="s">
        <v>14</v>
      </c>
      <c r="D2002" s="4" t="s">
        <v>15</v>
      </c>
      <c r="E2002" s="5" t="str">
        <f>"9520192"</f>
        <v>9520192</v>
      </c>
      <c r="F2002" s="3" t="s">
        <v>6318</v>
      </c>
      <c r="G2002" s="5">
        <v>2104671630</v>
      </c>
      <c r="H2002" s="4" t="s">
        <v>6319</v>
      </c>
      <c r="I2002" s="4" t="s">
        <v>5819</v>
      </c>
      <c r="J2002" s="4" t="s">
        <v>6320</v>
      </c>
      <c r="K2002" s="4" t="s">
        <v>6321</v>
      </c>
      <c r="L2002" s="5">
        <v>18902</v>
      </c>
    </row>
    <row r="2003" spans="1:12" x14ac:dyDescent="0.25">
      <c r="A2003" s="3" t="s">
        <v>1057</v>
      </c>
      <c r="B2003" s="4" t="s">
        <v>5664</v>
      </c>
      <c r="C2003" s="4" t="s">
        <v>14</v>
      </c>
      <c r="D2003" s="4" t="s">
        <v>15</v>
      </c>
      <c r="E2003" s="5" t="str">
        <f>"9520077"</f>
        <v>9520077</v>
      </c>
      <c r="F2003" s="3" t="s">
        <v>6322</v>
      </c>
      <c r="G2003" s="5">
        <v>2104006548</v>
      </c>
      <c r="H2003" s="4" t="s">
        <v>6323</v>
      </c>
      <c r="I2003" s="4" t="s">
        <v>5667</v>
      </c>
      <c r="J2003" s="4" t="s">
        <v>6168</v>
      </c>
      <c r="K2003" s="4" t="s">
        <v>6324</v>
      </c>
      <c r="L2003" s="5">
        <v>18755</v>
      </c>
    </row>
    <row r="2004" spans="1:12" x14ac:dyDescent="0.25">
      <c r="A2004" s="3" t="s">
        <v>1057</v>
      </c>
      <c r="B2004" s="4" t="s">
        <v>5664</v>
      </c>
      <c r="C2004" s="4" t="s">
        <v>14</v>
      </c>
      <c r="D2004" s="4" t="s">
        <v>15</v>
      </c>
      <c r="E2004" s="5" t="str">
        <f>"9520404"</f>
        <v>9520404</v>
      </c>
      <c r="F2004" s="3" t="s">
        <v>6325</v>
      </c>
      <c r="G2004" s="5">
        <v>2104685997</v>
      </c>
      <c r="H2004" s="4" t="s">
        <v>6326</v>
      </c>
      <c r="I2004" s="4" t="s">
        <v>5819</v>
      </c>
      <c r="J2004" s="4" t="s">
        <v>6327</v>
      </c>
      <c r="K2004" s="4" t="s">
        <v>6328</v>
      </c>
      <c r="L2004" s="5">
        <v>18900</v>
      </c>
    </row>
    <row r="2005" spans="1:12" x14ac:dyDescent="0.25">
      <c r="A2005" s="3" t="s">
        <v>1057</v>
      </c>
      <c r="B2005" s="4" t="s">
        <v>5664</v>
      </c>
      <c r="C2005" s="4" t="s">
        <v>14</v>
      </c>
      <c r="D2005" s="4" t="s">
        <v>15</v>
      </c>
      <c r="E2005" s="5" t="str">
        <f>"9520182"</f>
        <v>9520182</v>
      </c>
      <c r="F2005" s="3" t="s">
        <v>6329</v>
      </c>
      <c r="G2005" s="5">
        <v>2104314558</v>
      </c>
      <c r="H2005" s="4" t="s">
        <v>6330</v>
      </c>
      <c r="I2005" s="4" t="s">
        <v>5667</v>
      </c>
      <c r="J2005" s="4" t="s">
        <v>6168</v>
      </c>
      <c r="K2005" s="4" t="s">
        <v>5693</v>
      </c>
      <c r="L2005" s="5">
        <v>18757</v>
      </c>
    </row>
    <row r="2006" spans="1:12" x14ac:dyDescent="0.25">
      <c r="A2006" s="3" t="s">
        <v>1057</v>
      </c>
      <c r="B2006" s="4" t="s">
        <v>5664</v>
      </c>
      <c r="C2006" s="4" t="s">
        <v>25</v>
      </c>
      <c r="D2006" s="4" t="s">
        <v>26</v>
      </c>
      <c r="E2006" s="5" t="str">
        <f>"9520651"</f>
        <v>9520651</v>
      </c>
      <c r="F2006" s="3" t="s">
        <v>6331</v>
      </c>
      <c r="G2006" s="5">
        <v>2298074220</v>
      </c>
      <c r="H2006" s="4" t="s">
        <v>6332</v>
      </c>
      <c r="I2006" s="4" t="s">
        <v>6333</v>
      </c>
      <c r="J2006" s="4" t="s">
        <v>6333</v>
      </c>
      <c r="K2006" s="4" t="s">
        <v>6333</v>
      </c>
      <c r="L2006" s="5">
        <v>18050</v>
      </c>
    </row>
    <row r="2007" spans="1:12" x14ac:dyDescent="0.25">
      <c r="A2007" s="3" t="s">
        <v>1057</v>
      </c>
      <c r="B2007" s="4" t="s">
        <v>5664</v>
      </c>
      <c r="C2007" s="4" t="s">
        <v>14</v>
      </c>
      <c r="D2007" s="4" t="s">
        <v>15</v>
      </c>
      <c r="E2007" s="5" t="str">
        <f>"9520074"</f>
        <v>9520074</v>
      </c>
      <c r="F2007" s="3" t="s">
        <v>6334</v>
      </c>
      <c r="G2007" s="5">
        <v>2104006303</v>
      </c>
      <c r="H2007" s="4" t="s">
        <v>6335</v>
      </c>
      <c r="I2007" s="4" t="s">
        <v>5667</v>
      </c>
      <c r="J2007" s="4" t="s">
        <v>6168</v>
      </c>
      <c r="K2007" s="4" t="s">
        <v>5712</v>
      </c>
      <c r="L2007" s="5">
        <v>18755</v>
      </c>
    </row>
    <row r="2008" spans="1:12" x14ac:dyDescent="0.25">
      <c r="A2008" s="3" t="s">
        <v>1057</v>
      </c>
      <c r="B2008" s="4" t="s">
        <v>5664</v>
      </c>
      <c r="C2008" s="4" t="s">
        <v>14</v>
      </c>
      <c r="D2008" s="4" t="s">
        <v>15</v>
      </c>
      <c r="E2008" s="5" t="str">
        <f>"9520151"</f>
        <v>9520151</v>
      </c>
      <c r="F2008" s="3" t="s">
        <v>6336</v>
      </c>
      <c r="G2008" s="5">
        <v>2104613836</v>
      </c>
      <c r="H2008" s="4" t="s">
        <v>6337</v>
      </c>
      <c r="I2008" s="4" t="s">
        <v>5699</v>
      </c>
      <c r="J2008" s="4" t="s">
        <v>5812</v>
      </c>
      <c r="K2008" s="4" t="s">
        <v>6338</v>
      </c>
      <c r="L2008" s="5">
        <v>18546</v>
      </c>
    </row>
    <row r="2009" spans="1:12" x14ac:dyDescent="0.25">
      <c r="A2009" s="3" t="s">
        <v>1057</v>
      </c>
      <c r="B2009" s="4" t="s">
        <v>5664</v>
      </c>
      <c r="C2009" s="4" t="s">
        <v>14</v>
      </c>
      <c r="D2009" s="4" t="s">
        <v>15</v>
      </c>
      <c r="E2009" s="5" t="str">
        <f>"9520181"</f>
        <v>9520181</v>
      </c>
      <c r="F2009" s="3" t="s">
        <v>6339</v>
      </c>
      <c r="G2009" s="5">
        <v>2104314554</v>
      </c>
      <c r="H2009" s="4" t="s">
        <v>6340</v>
      </c>
      <c r="I2009" s="4" t="s">
        <v>5667</v>
      </c>
      <c r="J2009" s="4" t="s">
        <v>6168</v>
      </c>
      <c r="K2009" s="4" t="s">
        <v>6341</v>
      </c>
      <c r="L2009" s="5">
        <v>18758</v>
      </c>
    </row>
    <row r="2010" spans="1:12" x14ac:dyDescent="0.25">
      <c r="A2010" s="3" t="s">
        <v>1057</v>
      </c>
      <c r="B2010" s="4" t="s">
        <v>5664</v>
      </c>
      <c r="C2010" s="4" t="s">
        <v>14</v>
      </c>
      <c r="D2010" s="4" t="s">
        <v>15</v>
      </c>
      <c r="E2010" s="5" t="str">
        <f>"9520176"</f>
        <v>9520176</v>
      </c>
      <c r="F2010" s="3" t="s">
        <v>6342</v>
      </c>
      <c r="G2010" s="5">
        <v>2104313244</v>
      </c>
      <c r="H2010" s="4" t="s">
        <v>6343</v>
      </c>
      <c r="I2010" s="4" t="s">
        <v>5667</v>
      </c>
      <c r="J2010" s="4" t="s">
        <v>6044</v>
      </c>
      <c r="K2010" s="4" t="s">
        <v>6344</v>
      </c>
      <c r="L2010" s="5">
        <v>18756</v>
      </c>
    </row>
    <row r="2011" spans="1:12" x14ac:dyDescent="0.25">
      <c r="A2011" s="3" t="s">
        <v>1057</v>
      </c>
      <c r="B2011" s="4" t="s">
        <v>5664</v>
      </c>
      <c r="C2011" s="4" t="s">
        <v>14</v>
      </c>
      <c r="D2011" s="4" t="s">
        <v>15</v>
      </c>
      <c r="E2011" s="5" t="str">
        <f>"9520059"</f>
        <v>9520059</v>
      </c>
      <c r="F2011" s="3" t="s">
        <v>6345</v>
      </c>
      <c r="G2011" s="5">
        <v>2104321011</v>
      </c>
      <c r="H2011" s="4" t="s">
        <v>6346</v>
      </c>
      <c r="I2011" s="4" t="s">
        <v>5667</v>
      </c>
      <c r="J2011" s="4" t="s">
        <v>6168</v>
      </c>
      <c r="K2011" s="4" t="s">
        <v>6347</v>
      </c>
      <c r="L2011" s="5">
        <v>18755</v>
      </c>
    </row>
    <row r="2012" spans="1:12" x14ac:dyDescent="0.25">
      <c r="A2012" s="3" t="s">
        <v>1057</v>
      </c>
      <c r="B2012" s="4" t="s">
        <v>5664</v>
      </c>
      <c r="C2012" s="4" t="s">
        <v>14</v>
      </c>
      <c r="D2012" s="4" t="s">
        <v>15</v>
      </c>
      <c r="E2012" s="5" t="str">
        <f>"9520343"</f>
        <v>9520343</v>
      </c>
      <c r="F2012" s="3" t="s">
        <v>6348</v>
      </c>
      <c r="G2012" s="5">
        <v>2104312402</v>
      </c>
      <c r="H2012" s="4" t="s">
        <v>6349</v>
      </c>
      <c r="I2012" s="4" t="s">
        <v>5667</v>
      </c>
      <c r="J2012" s="4" t="s">
        <v>6168</v>
      </c>
      <c r="K2012" s="4" t="s">
        <v>6350</v>
      </c>
      <c r="L2012" s="5">
        <v>18756</v>
      </c>
    </row>
    <row r="2013" spans="1:12" x14ac:dyDescent="0.25">
      <c r="A2013" s="3" t="s">
        <v>1057</v>
      </c>
      <c r="B2013" s="4" t="s">
        <v>5664</v>
      </c>
      <c r="C2013" s="4" t="s">
        <v>14</v>
      </c>
      <c r="D2013" s="4" t="s">
        <v>15</v>
      </c>
      <c r="E2013" s="5" t="str">
        <f>"9520302"</f>
        <v>9520302</v>
      </c>
      <c r="F2013" s="3" t="s">
        <v>6351</v>
      </c>
      <c r="G2013" s="5">
        <v>2104319690</v>
      </c>
      <c r="H2013" s="4" t="s">
        <v>6352</v>
      </c>
      <c r="I2013" s="4" t="s">
        <v>5667</v>
      </c>
      <c r="J2013" s="4" t="s">
        <v>6168</v>
      </c>
      <c r="K2013" s="4" t="s">
        <v>6353</v>
      </c>
      <c r="L2013" s="5">
        <v>18757</v>
      </c>
    </row>
    <row r="2014" spans="1:12" x14ac:dyDescent="0.25">
      <c r="A2014" s="3" t="s">
        <v>1057</v>
      </c>
      <c r="B2014" s="4" t="s">
        <v>5664</v>
      </c>
      <c r="C2014" s="4" t="s">
        <v>14</v>
      </c>
      <c r="D2014" s="4" t="s">
        <v>15</v>
      </c>
      <c r="E2014" s="5" t="str">
        <f>"9520177"</f>
        <v>9520177</v>
      </c>
      <c r="F2014" s="3" t="s">
        <v>6354</v>
      </c>
      <c r="G2014" s="5">
        <v>2104316757</v>
      </c>
      <c r="H2014" s="4" t="s">
        <v>6355</v>
      </c>
      <c r="I2014" s="4" t="s">
        <v>5667</v>
      </c>
      <c r="J2014" s="4" t="s">
        <v>6168</v>
      </c>
      <c r="K2014" s="4" t="s">
        <v>6356</v>
      </c>
      <c r="L2014" s="5">
        <v>18758</v>
      </c>
    </row>
    <row r="2015" spans="1:12" x14ac:dyDescent="0.25">
      <c r="A2015" s="3" t="s">
        <v>1057</v>
      </c>
      <c r="B2015" s="4" t="s">
        <v>5664</v>
      </c>
      <c r="C2015" s="4" t="s">
        <v>14</v>
      </c>
      <c r="D2015" s="4" t="s">
        <v>15</v>
      </c>
      <c r="E2015" s="5" t="str">
        <f>"9520388"</f>
        <v>9520388</v>
      </c>
      <c r="F2015" s="3" t="s">
        <v>6357</v>
      </c>
      <c r="G2015" s="5">
        <v>2104002415</v>
      </c>
      <c r="H2015" s="4" t="s">
        <v>6358</v>
      </c>
      <c r="I2015" s="4" t="s">
        <v>5667</v>
      </c>
      <c r="J2015" s="4" t="s">
        <v>6168</v>
      </c>
      <c r="K2015" s="4" t="s">
        <v>6359</v>
      </c>
      <c r="L2015" s="5">
        <v>18758</v>
      </c>
    </row>
    <row r="2016" spans="1:12" x14ac:dyDescent="0.25">
      <c r="A2016" s="3" t="s">
        <v>1057</v>
      </c>
      <c r="B2016" s="4" t="s">
        <v>5664</v>
      </c>
      <c r="C2016" s="4" t="s">
        <v>25</v>
      </c>
      <c r="D2016" s="4" t="s">
        <v>26</v>
      </c>
      <c r="E2016" s="5" t="str">
        <f>"9520087"</f>
        <v>9520087</v>
      </c>
      <c r="F2016" s="3" t="s">
        <v>6360</v>
      </c>
      <c r="G2016" s="5">
        <v>2104951235</v>
      </c>
      <c r="H2016" s="4" t="s">
        <v>6361</v>
      </c>
      <c r="I2016" s="4" t="s">
        <v>5837</v>
      </c>
      <c r="J2016" s="4" t="s">
        <v>5837</v>
      </c>
      <c r="K2016" s="4" t="s">
        <v>6048</v>
      </c>
      <c r="L2016" s="5">
        <v>18122</v>
      </c>
    </row>
    <row r="2017" spans="1:12" x14ac:dyDescent="0.25">
      <c r="A2017" s="3" t="s">
        <v>1057</v>
      </c>
      <c r="B2017" s="4" t="s">
        <v>5664</v>
      </c>
      <c r="C2017" s="4" t="s">
        <v>14</v>
      </c>
      <c r="D2017" s="4" t="s">
        <v>15</v>
      </c>
      <c r="E2017" s="5" t="str">
        <f>"9520058"</f>
        <v>9520058</v>
      </c>
      <c r="F2017" s="3" t="s">
        <v>6362</v>
      </c>
      <c r="G2017" s="5">
        <v>2104612287</v>
      </c>
      <c r="H2017" s="4" t="s">
        <v>6363</v>
      </c>
      <c r="I2017" s="4" t="s">
        <v>5667</v>
      </c>
      <c r="J2017" s="4" t="s">
        <v>6168</v>
      </c>
      <c r="K2017" s="4" t="s">
        <v>6364</v>
      </c>
      <c r="L2017" s="5">
        <v>18756</v>
      </c>
    </row>
    <row r="2018" spans="1:12" x14ac:dyDescent="0.25">
      <c r="A2018" s="3" t="s">
        <v>1057</v>
      </c>
      <c r="B2018" s="4" t="s">
        <v>5664</v>
      </c>
      <c r="C2018" s="4" t="s">
        <v>25</v>
      </c>
      <c r="D2018" s="4" t="s">
        <v>26</v>
      </c>
      <c r="E2018" s="5" t="str">
        <f>"9520260"</f>
        <v>9520260</v>
      </c>
      <c r="F2018" s="3" t="s">
        <v>6365</v>
      </c>
      <c r="G2018" s="5">
        <v>2297022203</v>
      </c>
      <c r="H2018" s="4" t="s">
        <v>6366</v>
      </c>
      <c r="I2018" s="4" t="s">
        <v>6106</v>
      </c>
      <c r="J2018" s="4" t="s">
        <v>6106</v>
      </c>
      <c r="K2018" s="4" t="s">
        <v>6367</v>
      </c>
      <c r="L2018" s="5">
        <v>18010</v>
      </c>
    </row>
    <row r="2019" spans="1:12" x14ac:dyDescent="0.25">
      <c r="A2019" s="3" t="s">
        <v>1057</v>
      </c>
      <c r="B2019" s="4" t="s">
        <v>5664</v>
      </c>
      <c r="C2019" s="4" t="s">
        <v>14</v>
      </c>
      <c r="D2019" s="4" t="s">
        <v>15</v>
      </c>
      <c r="E2019" s="5" t="str">
        <f>"9520070"</f>
        <v>9520070</v>
      </c>
      <c r="F2019" s="3" t="s">
        <v>6368</v>
      </c>
      <c r="G2019" s="5">
        <v>2104514589</v>
      </c>
      <c r="H2019" s="4" t="s">
        <v>6369</v>
      </c>
      <c r="I2019" s="4" t="s">
        <v>5699</v>
      </c>
      <c r="J2019" s="4" t="s">
        <v>5812</v>
      </c>
      <c r="K2019" s="4" t="s">
        <v>6370</v>
      </c>
      <c r="L2019" s="5">
        <v>18537</v>
      </c>
    </row>
    <row r="2020" spans="1:12" x14ac:dyDescent="0.25">
      <c r="A2020" s="3" t="s">
        <v>1057</v>
      </c>
      <c r="B2020" s="4" t="s">
        <v>5664</v>
      </c>
      <c r="C2020" s="4" t="s">
        <v>14</v>
      </c>
      <c r="D2020" s="4" t="s">
        <v>15</v>
      </c>
      <c r="E2020" s="5" t="str">
        <f>"9520202"</f>
        <v>9520202</v>
      </c>
      <c r="F2020" s="3" t="s">
        <v>6371</v>
      </c>
      <c r="G2020" s="5">
        <v>2104651116</v>
      </c>
      <c r="H2020" s="4" t="s">
        <v>6372</v>
      </c>
      <c r="I2020" s="4" t="s">
        <v>5819</v>
      </c>
      <c r="J2020" s="4" t="s">
        <v>5935</v>
      </c>
      <c r="K2020" s="4" t="s">
        <v>6373</v>
      </c>
      <c r="L2020" s="5">
        <v>18900</v>
      </c>
    </row>
    <row r="2021" spans="1:12" x14ac:dyDescent="0.25">
      <c r="A2021" s="3" t="s">
        <v>1057</v>
      </c>
      <c r="B2021" s="4" t="s">
        <v>5664</v>
      </c>
      <c r="C2021" s="4" t="s">
        <v>14</v>
      </c>
      <c r="D2021" s="4" t="s">
        <v>15</v>
      </c>
      <c r="E2021" s="5" t="str">
        <f>"9520169"</f>
        <v>9520169</v>
      </c>
      <c r="F2021" s="3" t="s">
        <v>6374</v>
      </c>
      <c r="G2021" s="5">
        <v>2104410633</v>
      </c>
      <c r="H2021" s="4" t="s">
        <v>6375</v>
      </c>
      <c r="I2021" s="4" t="s">
        <v>5689</v>
      </c>
      <c r="J2021" s="4" t="s">
        <v>6376</v>
      </c>
      <c r="K2021" s="4" t="s">
        <v>6377</v>
      </c>
      <c r="L2021" s="5">
        <v>18863</v>
      </c>
    </row>
    <row r="2022" spans="1:12" x14ac:dyDescent="0.25">
      <c r="A2022" s="3" t="s">
        <v>1057</v>
      </c>
      <c r="B2022" s="4" t="s">
        <v>5664</v>
      </c>
      <c r="C2022" s="4" t="s">
        <v>14</v>
      </c>
      <c r="D2022" s="4" t="s">
        <v>15</v>
      </c>
      <c r="E2022" s="5" t="str">
        <f>"9520405"</f>
        <v>9520405</v>
      </c>
      <c r="F2022" s="3" t="s">
        <v>6378</v>
      </c>
      <c r="G2022" s="5">
        <v>2104650765</v>
      </c>
      <c r="H2022" s="4" t="s">
        <v>6379</v>
      </c>
      <c r="I2022" s="4" t="s">
        <v>5819</v>
      </c>
      <c r="J2022" s="4" t="s">
        <v>5935</v>
      </c>
      <c r="K2022" s="4" t="s">
        <v>6380</v>
      </c>
      <c r="L2022" s="5">
        <v>18900</v>
      </c>
    </row>
    <row r="2023" spans="1:12" x14ac:dyDescent="0.25">
      <c r="A2023" s="3" t="s">
        <v>1057</v>
      </c>
      <c r="B2023" s="4" t="s">
        <v>5664</v>
      </c>
      <c r="C2023" s="4" t="s">
        <v>14</v>
      </c>
      <c r="D2023" s="4" t="s">
        <v>15</v>
      </c>
      <c r="E2023" s="5" t="str">
        <f>"9520183"</f>
        <v>9520183</v>
      </c>
      <c r="F2023" s="3" t="s">
        <v>6381</v>
      </c>
      <c r="G2023" s="5">
        <v>2104320605</v>
      </c>
      <c r="H2023" s="4" t="s">
        <v>6382</v>
      </c>
      <c r="I2023" s="4" t="s">
        <v>5667</v>
      </c>
      <c r="J2023" s="4" t="s">
        <v>6168</v>
      </c>
      <c r="K2023" s="4" t="s">
        <v>6383</v>
      </c>
      <c r="L2023" s="5">
        <v>18756</v>
      </c>
    </row>
    <row r="2024" spans="1:12" x14ac:dyDescent="0.25">
      <c r="A2024" s="3" t="s">
        <v>1057</v>
      </c>
      <c r="B2024" s="4" t="s">
        <v>5664</v>
      </c>
      <c r="C2024" s="4" t="s">
        <v>14</v>
      </c>
      <c r="D2024" s="4" t="s">
        <v>15</v>
      </c>
      <c r="E2024" s="5" t="str">
        <f>"9520196"</f>
        <v>9520196</v>
      </c>
      <c r="F2024" s="3" t="s">
        <v>6384</v>
      </c>
      <c r="G2024" s="5">
        <v>2298072321</v>
      </c>
      <c r="H2024" s="4" t="s">
        <v>6385</v>
      </c>
      <c r="I2024" s="4" t="s">
        <v>6333</v>
      </c>
      <c r="J2024" s="4" t="s">
        <v>6386</v>
      </c>
      <c r="K2024" s="4" t="s">
        <v>6386</v>
      </c>
      <c r="L2024" s="5">
        <v>18050</v>
      </c>
    </row>
    <row r="2025" spans="1:12" x14ac:dyDescent="0.25">
      <c r="A2025" s="3" t="s">
        <v>1057</v>
      </c>
      <c r="B2025" s="4" t="s">
        <v>5664</v>
      </c>
      <c r="C2025" s="4" t="s">
        <v>25</v>
      </c>
      <c r="D2025" s="4" t="s">
        <v>26</v>
      </c>
      <c r="E2025" s="5" t="str">
        <f>"9520153"</f>
        <v>9520153</v>
      </c>
      <c r="F2025" s="3" t="s">
        <v>6387</v>
      </c>
      <c r="G2025" s="5">
        <v>2298073001</v>
      </c>
      <c r="H2025" s="4" t="s">
        <v>6388</v>
      </c>
      <c r="I2025" s="4" t="s">
        <v>6333</v>
      </c>
      <c r="J2025" s="4" t="s">
        <v>6333</v>
      </c>
      <c r="K2025" s="4" t="s">
        <v>6386</v>
      </c>
      <c r="L2025" s="5">
        <v>18050</v>
      </c>
    </row>
    <row r="2026" spans="1:12" x14ac:dyDescent="0.25">
      <c r="A2026" s="3" t="s">
        <v>1057</v>
      </c>
      <c r="B2026" s="4" t="s">
        <v>5664</v>
      </c>
      <c r="C2026" s="4" t="s">
        <v>25</v>
      </c>
      <c r="D2026" s="4" t="s">
        <v>26</v>
      </c>
      <c r="E2026" s="5" t="str">
        <f>"9520285"</f>
        <v>9520285</v>
      </c>
      <c r="F2026" s="3" t="s">
        <v>6389</v>
      </c>
      <c r="G2026" s="5">
        <v>2298093089</v>
      </c>
      <c r="H2026" s="4" t="s">
        <v>6390</v>
      </c>
      <c r="I2026" s="4" t="s">
        <v>6096</v>
      </c>
      <c r="J2026" s="4" t="s">
        <v>6391</v>
      </c>
      <c r="K2026" s="4" t="s">
        <v>6097</v>
      </c>
      <c r="L2026" s="5">
        <v>18030</v>
      </c>
    </row>
    <row r="2027" spans="1:12" x14ac:dyDescent="0.25">
      <c r="A2027" s="3" t="s">
        <v>1057</v>
      </c>
      <c r="B2027" s="4" t="s">
        <v>5664</v>
      </c>
      <c r="C2027" s="4" t="s">
        <v>14</v>
      </c>
      <c r="D2027" s="4" t="s">
        <v>15</v>
      </c>
      <c r="E2027" s="5" t="str">
        <f>"9520179"</f>
        <v>9520179</v>
      </c>
      <c r="F2027" s="3" t="s">
        <v>6392</v>
      </c>
      <c r="G2027" s="5">
        <v>2104316763</v>
      </c>
      <c r="H2027" s="4" t="s">
        <v>6393</v>
      </c>
      <c r="I2027" s="4" t="s">
        <v>5667</v>
      </c>
      <c r="J2027" s="4" t="s">
        <v>6394</v>
      </c>
      <c r="K2027" s="4" t="s">
        <v>6395</v>
      </c>
      <c r="L2027" s="5">
        <v>18757</v>
      </c>
    </row>
    <row r="2028" spans="1:12" x14ac:dyDescent="0.25">
      <c r="A2028" s="3" t="s">
        <v>1057</v>
      </c>
      <c r="B2028" s="4" t="s">
        <v>5664</v>
      </c>
      <c r="C2028" s="4" t="s">
        <v>14</v>
      </c>
      <c r="D2028" s="4" t="s">
        <v>15</v>
      </c>
      <c r="E2028" s="5" t="str">
        <f>"9520146"</f>
        <v>9520146</v>
      </c>
      <c r="F2028" s="3" t="s">
        <v>6396</v>
      </c>
      <c r="G2028" s="5">
        <v>2104203272</v>
      </c>
      <c r="H2028" s="4" t="s">
        <v>6397</v>
      </c>
      <c r="I2028" s="4" t="s">
        <v>5699</v>
      </c>
      <c r="J2028" s="4" t="s">
        <v>5812</v>
      </c>
      <c r="K2028" s="4" t="s">
        <v>6398</v>
      </c>
      <c r="L2028" s="5">
        <v>18544</v>
      </c>
    </row>
    <row r="2029" spans="1:12" x14ac:dyDescent="0.25">
      <c r="A2029" s="3" t="s">
        <v>1057</v>
      </c>
      <c r="B2029" s="4" t="s">
        <v>5664</v>
      </c>
      <c r="C2029" s="4" t="s">
        <v>25</v>
      </c>
      <c r="D2029" s="4" t="s">
        <v>26</v>
      </c>
      <c r="E2029" s="5" t="str">
        <f>"9520004"</f>
        <v>9520004</v>
      </c>
      <c r="F2029" s="3" t="s">
        <v>6399</v>
      </c>
      <c r="G2029" s="5">
        <v>2104826530</v>
      </c>
      <c r="H2029" s="4" t="s">
        <v>6400</v>
      </c>
      <c r="I2029" s="4" t="s">
        <v>5699</v>
      </c>
      <c r="J2029" s="4" t="s">
        <v>6401</v>
      </c>
      <c r="K2029" s="4" t="s">
        <v>6402</v>
      </c>
      <c r="L2029" s="5">
        <v>18547</v>
      </c>
    </row>
    <row r="2030" spans="1:12" x14ac:dyDescent="0.25">
      <c r="A2030" s="3" t="s">
        <v>1057</v>
      </c>
      <c r="B2030" s="4" t="s">
        <v>5664</v>
      </c>
      <c r="C2030" s="4" t="s">
        <v>14</v>
      </c>
      <c r="D2030" s="4" t="s">
        <v>15</v>
      </c>
      <c r="E2030" s="5" t="str">
        <f>"9520167"</f>
        <v>9520167</v>
      </c>
      <c r="F2030" s="3" t="s">
        <v>6403</v>
      </c>
      <c r="G2030" s="5">
        <v>2104015420</v>
      </c>
      <c r="H2030" s="4" t="s">
        <v>6404</v>
      </c>
      <c r="I2030" s="4" t="s">
        <v>5689</v>
      </c>
      <c r="J2030" s="4" t="s">
        <v>6405</v>
      </c>
      <c r="K2030" s="4" t="s">
        <v>6406</v>
      </c>
      <c r="L2030" s="5">
        <v>18863</v>
      </c>
    </row>
    <row r="2031" spans="1:12" x14ac:dyDescent="0.25">
      <c r="A2031" s="3" t="s">
        <v>1057</v>
      </c>
      <c r="B2031" s="4" t="s">
        <v>5664</v>
      </c>
      <c r="C2031" s="4" t="s">
        <v>14</v>
      </c>
      <c r="D2031" s="4" t="s">
        <v>15</v>
      </c>
      <c r="E2031" s="5" t="str">
        <f>"9520144"</f>
        <v>9520144</v>
      </c>
      <c r="F2031" s="3" t="s">
        <v>6407</v>
      </c>
      <c r="G2031" s="5">
        <v>2104916172</v>
      </c>
      <c r="H2031" s="4" t="s">
        <v>6408</v>
      </c>
      <c r="I2031" s="4" t="s">
        <v>5699</v>
      </c>
      <c r="J2031" s="4" t="s">
        <v>5812</v>
      </c>
      <c r="K2031" s="4" t="s">
        <v>6409</v>
      </c>
      <c r="L2031" s="5">
        <v>18544</v>
      </c>
    </row>
    <row r="2032" spans="1:12" x14ac:dyDescent="0.25">
      <c r="A2032" s="3" t="s">
        <v>1057</v>
      </c>
      <c r="B2032" s="4" t="s">
        <v>5664</v>
      </c>
      <c r="C2032" s="4" t="s">
        <v>14</v>
      </c>
      <c r="D2032" s="4" t="s">
        <v>15</v>
      </c>
      <c r="E2032" s="5" t="str">
        <f>"9520006"</f>
        <v>9520006</v>
      </c>
      <c r="F2032" s="3" t="s">
        <v>6410</v>
      </c>
      <c r="G2032" s="5">
        <v>2104816447</v>
      </c>
      <c r="H2032" s="4" t="s">
        <v>6411</v>
      </c>
      <c r="I2032" s="4" t="s">
        <v>5699</v>
      </c>
      <c r="J2032" s="4" t="s">
        <v>6401</v>
      </c>
      <c r="K2032" s="4" t="s">
        <v>5803</v>
      </c>
      <c r="L2032" s="5">
        <v>18547</v>
      </c>
    </row>
    <row r="2033" spans="1:12" x14ac:dyDescent="0.25">
      <c r="A2033" s="3" t="s">
        <v>1057</v>
      </c>
      <c r="B2033" s="4" t="s">
        <v>5664</v>
      </c>
      <c r="C2033" s="4" t="s">
        <v>14</v>
      </c>
      <c r="D2033" s="4" t="s">
        <v>15</v>
      </c>
      <c r="E2033" s="5" t="str">
        <f>"9520152"</f>
        <v>9520152</v>
      </c>
      <c r="F2033" s="3" t="s">
        <v>6412</v>
      </c>
      <c r="G2033" s="5">
        <v>2104619183</v>
      </c>
      <c r="H2033" s="4" t="s">
        <v>6413</v>
      </c>
      <c r="I2033" s="4" t="s">
        <v>5699</v>
      </c>
      <c r="J2033" s="4" t="s">
        <v>5812</v>
      </c>
      <c r="K2033" s="4" t="s">
        <v>6414</v>
      </c>
      <c r="L2033" s="5">
        <v>18546</v>
      </c>
    </row>
    <row r="2034" spans="1:12" x14ac:dyDescent="0.25">
      <c r="A2034" s="3" t="s">
        <v>1057</v>
      </c>
      <c r="B2034" s="4" t="s">
        <v>5664</v>
      </c>
      <c r="C2034" s="4" t="s">
        <v>14</v>
      </c>
      <c r="D2034" s="4" t="s">
        <v>15</v>
      </c>
      <c r="E2034" s="5" t="str">
        <f>"9520067"</f>
        <v>9520067</v>
      </c>
      <c r="F2034" s="3" t="s">
        <v>6415</v>
      </c>
      <c r="G2034" s="5">
        <v>2104512593</v>
      </c>
      <c r="H2034" s="4" t="s">
        <v>6416</v>
      </c>
      <c r="I2034" s="4" t="s">
        <v>5699</v>
      </c>
      <c r="J2034" s="4" t="s">
        <v>5812</v>
      </c>
      <c r="K2034" s="4" t="s">
        <v>5761</v>
      </c>
      <c r="L2034" s="5">
        <v>18539</v>
      </c>
    </row>
    <row r="2035" spans="1:12" x14ac:dyDescent="0.25">
      <c r="A2035" s="3" t="s">
        <v>1057</v>
      </c>
      <c r="B2035" s="4" t="s">
        <v>5664</v>
      </c>
      <c r="C2035" s="4" t="s">
        <v>14</v>
      </c>
      <c r="D2035" s="4" t="s">
        <v>15</v>
      </c>
      <c r="E2035" s="5" t="str">
        <f>"9520142"</f>
        <v>9520142</v>
      </c>
      <c r="F2035" s="3" t="s">
        <v>6417</v>
      </c>
      <c r="G2035" s="5">
        <v>2104914203</v>
      </c>
      <c r="H2035" s="4" t="s">
        <v>6418</v>
      </c>
      <c r="I2035" s="4" t="s">
        <v>5699</v>
      </c>
      <c r="J2035" s="4" t="s">
        <v>5812</v>
      </c>
      <c r="K2035" s="4" t="s">
        <v>6419</v>
      </c>
      <c r="L2035" s="5">
        <v>18543</v>
      </c>
    </row>
    <row r="2036" spans="1:12" x14ac:dyDescent="0.25">
      <c r="A2036" s="3" t="s">
        <v>1057</v>
      </c>
      <c r="B2036" s="4" t="s">
        <v>5664</v>
      </c>
      <c r="C2036" s="4" t="s">
        <v>14</v>
      </c>
      <c r="D2036" s="4" t="s">
        <v>15</v>
      </c>
      <c r="E2036" s="5" t="str">
        <f>"9520188"</f>
        <v>9520188</v>
      </c>
      <c r="F2036" s="3" t="s">
        <v>6420</v>
      </c>
      <c r="G2036" s="5">
        <v>2104662876</v>
      </c>
      <c r="H2036" s="4" t="s">
        <v>6421</v>
      </c>
      <c r="I2036" s="4" t="s">
        <v>5819</v>
      </c>
      <c r="J2036" s="4" t="s">
        <v>6422</v>
      </c>
      <c r="K2036" s="4" t="s">
        <v>6423</v>
      </c>
      <c r="L2036" s="5">
        <v>18903</v>
      </c>
    </row>
    <row r="2037" spans="1:12" ht="30" x14ac:dyDescent="0.25">
      <c r="A2037" s="3" t="s">
        <v>1057</v>
      </c>
      <c r="B2037" s="4" t="s">
        <v>5664</v>
      </c>
      <c r="C2037" s="4" t="s">
        <v>14</v>
      </c>
      <c r="D2037" s="4" t="s">
        <v>15</v>
      </c>
      <c r="E2037" s="5" t="str">
        <f>"9520081"</f>
        <v>9520081</v>
      </c>
      <c r="F2037" s="3" t="s">
        <v>6424</v>
      </c>
      <c r="G2037" s="5">
        <v>2104970285</v>
      </c>
      <c r="H2037" s="4" t="s">
        <v>6425</v>
      </c>
      <c r="I2037" s="4" t="s">
        <v>5837</v>
      </c>
      <c r="J2037" s="4" t="s">
        <v>5838</v>
      </c>
      <c r="K2037" s="4" t="s">
        <v>6026</v>
      </c>
      <c r="L2037" s="5">
        <v>18120</v>
      </c>
    </row>
    <row r="2038" spans="1:12" x14ac:dyDescent="0.25">
      <c r="A2038" s="3" t="s">
        <v>1057</v>
      </c>
      <c r="B2038" s="4" t="s">
        <v>5664</v>
      </c>
      <c r="C2038" s="4" t="s">
        <v>14</v>
      </c>
      <c r="D2038" s="4" t="s">
        <v>15</v>
      </c>
      <c r="E2038" s="5" t="str">
        <f>"9520150"</f>
        <v>9520150</v>
      </c>
      <c r="F2038" s="3" t="s">
        <v>6426</v>
      </c>
      <c r="G2038" s="5">
        <v>2104634333</v>
      </c>
      <c r="H2038" s="4" t="s">
        <v>6427</v>
      </c>
      <c r="I2038" s="4" t="s">
        <v>5699</v>
      </c>
      <c r="J2038" s="4" t="s">
        <v>5812</v>
      </c>
      <c r="K2038" s="4" t="s">
        <v>6428</v>
      </c>
      <c r="L2038" s="5">
        <v>18546</v>
      </c>
    </row>
    <row r="2039" spans="1:12" x14ac:dyDescent="0.25">
      <c r="A2039" s="3" t="s">
        <v>1057</v>
      </c>
      <c r="B2039" s="4" t="s">
        <v>5664</v>
      </c>
      <c r="C2039" s="4" t="s">
        <v>14</v>
      </c>
      <c r="D2039" s="4" t="s">
        <v>15</v>
      </c>
      <c r="E2039" s="5" t="str">
        <f>"9520147"</f>
        <v>9520147</v>
      </c>
      <c r="F2039" s="3" t="s">
        <v>6429</v>
      </c>
      <c r="G2039" s="5">
        <v>2104613665</v>
      </c>
      <c r="H2039" s="4" t="s">
        <v>6430</v>
      </c>
      <c r="I2039" s="4" t="s">
        <v>5699</v>
      </c>
      <c r="J2039" s="4" t="s">
        <v>5812</v>
      </c>
      <c r="K2039" s="4" t="s">
        <v>5855</v>
      </c>
      <c r="L2039" s="5">
        <v>18544</v>
      </c>
    </row>
    <row r="2040" spans="1:12" x14ac:dyDescent="0.25">
      <c r="A2040" s="3" t="s">
        <v>1057</v>
      </c>
      <c r="B2040" s="4" t="s">
        <v>5664</v>
      </c>
      <c r="C2040" s="4" t="s">
        <v>14</v>
      </c>
      <c r="D2040" s="4" t="s">
        <v>15</v>
      </c>
      <c r="E2040" s="5" t="str">
        <f>"9520047"</f>
        <v>9520047</v>
      </c>
      <c r="F2040" s="3" t="s">
        <v>6431</v>
      </c>
      <c r="G2040" s="5">
        <v>2736033229</v>
      </c>
      <c r="H2040" s="4" t="s">
        <v>6432</v>
      </c>
      <c r="I2040" s="4" t="s">
        <v>6433</v>
      </c>
      <c r="J2040" s="4" t="s">
        <v>6434</v>
      </c>
      <c r="K2040" s="4" t="s">
        <v>6435</v>
      </c>
      <c r="L2040" s="5">
        <v>80200</v>
      </c>
    </row>
    <row r="2041" spans="1:12" ht="30" x14ac:dyDescent="0.25">
      <c r="A2041" s="3" t="s">
        <v>1057</v>
      </c>
      <c r="B2041" s="4" t="s">
        <v>5664</v>
      </c>
      <c r="C2041" s="4" t="s">
        <v>14</v>
      </c>
      <c r="D2041" s="4" t="s">
        <v>15</v>
      </c>
      <c r="E2041" s="5" t="str">
        <f>"9520042"</f>
        <v>9520042</v>
      </c>
      <c r="F2041" s="3" t="s">
        <v>6436</v>
      </c>
      <c r="G2041" s="5">
        <v>2736031229</v>
      </c>
      <c r="H2041" s="4" t="s">
        <v>6437</v>
      </c>
      <c r="I2041" s="4" t="s">
        <v>6433</v>
      </c>
      <c r="J2041" s="4" t="s">
        <v>6438</v>
      </c>
      <c r="K2041" s="4" t="s">
        <v>6439</v>
      </c>
      <c r="L2041" s="5">
        <v>80100</v>
      </c>
    </row>
    <row r="2042" spans="1:12" x14ac:dyDescent="0.25">
      <c r="A2042" s="3" t="s">
        <v>1057</v>
      </c>
      <c r="B2042" s="4" t="s">
        <v>5664</v>
      </c>
      <c r="C2042" s="4" t="s">
        <v>25</v>
      </c>
      <c r="D2042" s="4" t="s">
        <v>26</v>
      </c>
      <c r="E2042" s="5" t="str">
        <f>"9520524"</f>
        <v>9520524</v>
      </c>
      <c r="F2042" s="3" t="s">
        <v>6440</v>
      </c>
      <c r="G2042" s="5">
        <v>2736033936</v>
      </c>
      <c r="H2042" s="4" t="s">
        <v>6441</v>
      </c>
      <c r="I2042" s="4" t="s">
        <v>6433</v>
      </c>
      <c r="J2042" s="4" t="s">
        <v>6442</v>
      </c>
      <c r="K2042" s="4" t="s">
        <v>6443</v>
      </c>
      <c r="L2042" s="5">
        <v>80200</v>
      </c>
    </row>
    <row r="2043" spans="1:12" x14ac:dyDescent="0.25">
      <c r="A2043" s="3" t="s">
        <v>1057</v>
      </c>
      <c r="B2043" s="4" t="s">
        <v>5664</v>
      </c>
      <c r="C2043" s="4" t="s">
        <v>25</v>
      </c>
      <c r="D2043" s="4" t="s">
        <v>26</v>
      </c>
      <c r="E2043" s="5" t="str">
        <f>"9520361"</f>
        <v>9520361</v>
      </c>
      <c r="F2043" s="3" t="s">
        <v>6444</v>
      </c>
      <c r="G2043" s="5">
        <v>2104677895</v>
      </c>
      <c r="H2043" s="4" t="s">
        <v>6445</v>
      </c>
      <c r="I2043" s="4" t="s">
        <v>5819</v>
      </c>
      <c r="J2043" s="4" t="s">
        <v>6446</v>
      </c>
      <c r="K2043" s="4" t="s">
        <v>6321</v>
      </c>
      <c r="L2043" s="5">
        <v>18902</v>
      </c>
    </row>
    <row r="2044" spans="1:12" x14ac:dyDescent="0.25">
      <c r="A2044" s="3" t="s">
        <v>1057</v>
      </c>
      <c r="B2044" s="4" t="s">
        <v>5664</v>
      </c>
      <c r="C2044" s="4" t="s">
        <v>14</v>
      </c>
      <c r="D2044" s="4" t="s">
        <v>15</v>
      </c>
      <c r="E2044" s="5" t="str">
        <f>"9520248"</f>
        <v>9520248</v>
      </c>
      <c r="F2044" s="3" t="s">
        <v>6447</v>
      </c>
      <c r="G2044" s="5">
        <v>2104915950</v>
      </c>
      <c r="H2044" s="4" t="s">
        <v>6448</v>
      </c>
      <c r="I2044" s="4" t="s">
        <v>5735</v>
      </c>
      <c r="J2044" s="4" t="s">
        <v>5736</v>
      </c>
      <c r="K2044" s="4" t="s">
        <v>6449</v>
      </c>
      <c r="L2044" s="5">
        <v>18451</v>
      </c>
    </row>
    <row r="2045" spans="1:12" x14ac:dyDescent="0.25">
      <c r="A2045" s="3" t="s">
        <v>1057</v>
      </c>
      <c r="B2045" s="4" t="s">
        <v>5664</v>
      </c>
      <c r="C2045" s="4" t="s">
        <v>14</v>
      </c>
      <c r="D2045" s="4" t="s">
        <v>15</v>
      </c>
      <c r="E2045" s="5" t="str">
        <f>"9520135"</f>
        <v>9520135</v>
      </c>
      <c r="F2045" s="3" t="s">
        <v>6450</v>
      </c>
      <c r="G2045" s="5">
        <v>2104917565</v>
      </c>
      <c r="H2045" s="4" t="s">
        <v>6451</v>
      </c>
      <c r="I2045" s="4" t="s">
        <v>5735</v>
      </c>
      <c r="J2045" s="4" t="s">
        <v>5736</v>
      </c>
      <c r="K2045" s="4" t="s">
        <v>6452</v>
      </c>
      <c r="L2045" s="5">
        <v>18451</v>
      </c>
    </row>
    <row r="2046" spans="1:12" x14ac:dyDescent="0.25">
      <c r="A2046" s="3" t="s">
        <v>1057</v>
      </c>
      <c r="B2046" s="4" t="s">
        <v>5664</v>
      </c>
      <c r="C2046" s="4" t="s">
        <v>25</v>
      </c>
      <c r="D2046" s="4" t="s">
        <v>26</v>
      </c>
      <c r="E2046" s="5" t="str">
        <f>"9520521"</f>
        <v>9520521</v>
      </c>
      <c r="F2046" s="3" t="s">
        <v>6453</v>
      </c>
      <c r="G2046" s="5">
        <v>2104015730</v>
      </c>
      <c r="H2046" s="4" t="s">
        <v>6454</v>
      </c>
      <c r="I2046" s="4" t="s">
        <v>5667</v>
      </c>
      <c r="J2046" s="4" t="s">
        <v>6168</v>
      </c>
      <c r="K2046" s="4" t="s">
        <v>6455</v>
      </c>
      <c r="L2046" s="5">
        <v>18755</v>
      </c>
    </row>
    <row r="2047" spans="1:12" x14ac:dyDescent="0.25">
      <c r="A2047" s="3" t="s">
        <v>1057</v>
      </c>
      <c r="B2047" s="4" t="s">
        <v>5664</v>
      </c>
      <c r="C2047" s="4" t="s">
        <v>25</v>
      </c>
      <c r="D2047" s="4" t="s">
        <v>26</v>
      </c>
      <c r="E2047" s="5" t="str">
        <f>"9521290"</f>
        <v>9521290</v>
      </c>
      <c r="F2047" s="3" t="s">
        <v>6456</v>
      </c>
      <c r="G2047" s="5">
        <v>2104201081</v>
      </c>
      <c r="H2047" s="4" t="s">
        <v>6457</v>
      </c>
      <c r="I2047" s="4" t="s">
        <v>5699</v>
      </c>
      <c r="J2047" s="4" t="s">
        <v>5700</v>
      </c>
      <c r="K2047" s="4" t="s">
        <v>6458</v>
      </c>
      <c r="L2047" s="5">
        <v>18543</v>
      </c>
    </row>
    <row r="2048" spans="1:12" x14ac:dyDescent="0.25">
      <c r="A2048" s="3" t="s">
        <v>1057</v>
      </c>
      <c r="B2048" s="4" t="s">
        <v>5664</v>
      </c>
      <c r="C2048" s="4" t="s">
        <v>25</v>
      </c>
      <c r="D2048" s="4" t="s">
        <v>26</v>
      </c>
      <c r="E2048" s="5" t="str">
        <f>"9521291"</f>
        <v>9521291</v>
      </c>
      <c r="F2048" s="3" t="s">
        <v>6459</v>
      </c>
      <c r="G2048" s="5">
        <v>2104209007</v>
      </c>
      <c r="H2048" s="4" t="s">
        <v>6460</v>
      </c>
      <c r="I2048" s="4" t="s">
        <v>5699</v>
      </c>
      <c r="J2048" s="4" t="s">
        <v>5700</v>
      </c>
      <c r="K2048" s="4" t="s">
        <v>6461</v>
      </c>
      <c r="L2048" s="5">
        <v>18541</v>
      </c>
    </row>
    <row r="2049" spans="1:12" x14ac:dyDescent="0.25">
      <c r="A2049" s="3" t="s">
        <v>1057</v>
      </c>
      <c r="B2049" s="4" t="s">
        <v>5664</v>
      </c>
      <c r="C2049" s="4" t="s">
        <v>25</v>
      </c>
      <c r="D2049" s="4" t="s">
        <v>26</v>
      </c>
      <c r="E2049" s="5" t="str">
        <f>"9521394"</f>
        <v>9521394</v>
      </c>
      <c r="F2049" s="3" t="s">
        <v>6462</v>
      </c>
      <c r="G2049" s="5">
        <v>2104326361</v>
      </c>
      <c r="H2049" s="4" t="s">
        <v>6463</v>
      </c>
      <c r="I2049" s="4" t="s">
        <v>5667</v>
      </c>
      <c r="J2049" s="4" t="s">
        <v>5668</v>
      </c>
      <c r="K2049" s="4" t="s">
        <v>6464</v>
      </c>
      <c r="L2049" s="5">
        <v>18758</v>
      </c>
    </row>
    <row r="2050" spans="1:12" x14ac:dyDescent="0.25">
      <c r="A2050" s="3" t="s">
        <v>1057</v>
      </c>
      <c r="B2050" s="4" t="s">
        <v>5664</v>
      </c>
      <c r="C2050" s="4" t="s">
        <v>25</v>
      </c>
      <c r="D2050" s="4" t="s">
        <v>26</v>
      </c>
      <c r="E2050" s="5" t="str">
        <f>"9521395"</f>
        <v>9521395</v>
      </c>
      <c r="F2050" s="3" t="s">
        <v>6465</v>
      </c>
      <c r="G2050" s="5">
        <v>2104416460</v>
      </c>
      <c r="H2050" s="4" t="s">
        <v>6466</v>
      </c>
      <c r="I2050" s="4" t="s">
        <v>5689</v>
      </c>
      <c r="J2050" s="4" t="s">
        <v>5689</v>
      </c>
      <c r="K2050" s="4" t="s">
        <v>6467</v>
      </c>
      <c r="L2050" s="5">
        <v>18863</v>
      </c>
    </row>
    <row r="2051" spans="1:12" x14ac:dyDescent="0.25">
      <c r="A2051" s="3" t="s">
        <v>1057</v>
      </c>
      <c r="B2051" s="4" t="s">
        <v>5664</v>
      </c>
      <c r="C2051" s="4" t="s">
        <v>25</v>
      </c>
      <c r="D2051" s="4" t="s">
        <v>26</v>
      </c>
      <c r="E2051" s="5" t="str">
        <f>"9521396"</f>
        <v>9521396</v>
      </c>
      <c r="F2051" s="3" t="s">
        <v>6468</v>
      </c>
      <c r="G2051" s="5">
        <v>2104413722</v>
      </c>
      <c r="H2051" s="4" t="s">
        <v>6469</v>
      </c>
      <c r="I2051" s="4" t="s">
        <v>5689</v>
      </c>
      <c r="J2051" s="4" t="s">
        <v>5689</v>
      </c>
      <c r="K2051" s="4" t="s">
        <v>6470</v>
      </c>
      <c r="L2051" s="5">
        <v>18863</v>
      </c>
    </row>
    <row r="2052" spans="1:12" x14ac:dyDescent="0.25">
      <c r="A2052" s="3" t="s">
        <v>1057</v>
      </c>
      <c r="B2052" s="4" t="s">
        <v>5664</v>
      </c>
      <c r="C2052" s="4" t="s">
        <v>25</v>
      </c>
      <c r="D2052" s="4" t="s">
        <v>26</v>
      </c>
      <c r="E2052" s="5" t="str">
        <f>"9520293"</f>
        <v>9520293</v>
      </c>
      <c r="F2052" s="3" t="s">
        <v>6471</v>
      </c>
      <c r="G2052" s="5">
        <v>2297023623</v>
      </c>
      <c r="H2052" s="4" t="s">
        <v>6472</v>
      </c>
      <c r="I2052" s="4" t="s">
        <v>6106</v>
      </c>
      <c r="J2052" s="4" t="s">
        <v>6107</v>
      </c>
      <c r="K2052" s="4" t="s">
        <v>6473</v>
      </c>
      <c r="L2052" s="5">
        <v>18010</v>
      </c>
    </row>
    <row r="2053" spans="1:12" x14ac:dyDescent="0.25">
      <c r="A2053" s="3" t="s">
        <v>1057</v>
      </c>
      <c r="B2053" s="4" t="s">
        <v>5664</v>
      </c>
      <c r="C2053" s="4" t="s">
        <v>14</v>
      </c>
      <c r="D2053" s="4" t="s">
        <v>15</v>
      </c>
      <c r="E2053" s="5" t="str">
        <f>"9520171"</f>
        <v>9520171</v>
      </c>
      <c r="F2053" s="3" t="s">
        <v>6474</v>
      </c>
      <c r="G2053" s="5">
        <v>2104410206</v>
      </c>
      <c r="H2053" s="4" t="s">
        <v>6475</v>
      </c>
      <c r="I2053" s="4" t="s">
        <v>5689</v>
      </c>
      <c r="J2053" s="4" t="s">
        <v>6006</v>
      </c>
      <c r="K2053" s="4" t="s">
        <v>6476</v>
      </c>
      <c r="L2053" s="5">
        <v>18863</v>
      </c>
    </row>
    <row r="2054" spans="1:12" x14ac:dyDescent="0.25">
      <c r="A2054" s="3" t="s">
        <v>1057</v>
      </c>
      <c r="B2054" s="4" t="s">
        <v>5664</v>
      </c>
      <c r="C2054" s="4" t="s">
        <v>14</v>
      </c>
      <c r="D2054" s="4" t="s">
        <v>15</v>
      </c>
      <c r="E2054" s="5" t="str">
        <f>"9520078"</f>
        <v>9520078</v>
      </c>
      <c r="F2054" s="3" t="s">
        <v>6477</v>
      </c>
      <c r="G2054" s="5">
        <v>2104951273</v>
      </c>
      <c r="H2054" s="4" t="s">
        <v>6478</v>
      </c>
      <c r="I2054" s="4" t="s">
        <v>5837</v>
      </c>
      <c r="J2054" s="4" t="s">
        <v>5838</v>
      </c>
      <c r="K2054" s="4" t="s">
        <v>6479</v>
      </c>
      <c r="L2054" s="5">
        <v>18120</v>
      </c>
    </row>
    <row r="2055" spans="1:12" x14ac:dyDescent="0.25">
      <c r="A2055" s="3" t="s">
        <v>1057</v>
      </c>
      <c r="B2055" s="4" t="s">
        <v>5664</v>
      </c>
      <c r="C2055" s="4" t="s">
        <v>25</v>
      </c>
      <c r="D2055" s="4" t="s">
        <v>26</v>
      </c>
      <c r="E2055" s="5" t="str">
        <f>"9541001"</f>
        <v>9541001</v>
      </c>
      <c r="F2055" s="3" t="s">
        <v>6480</v>
      </c>
      <c r="G2055" s="5">
        <v>2104008467</v>
      </c>
      <c r="H2055" s="4" t="s">
        <v>6481</v>
      </c>
      <c r="I2055" s="4" t="s">
        <v>5667</v>
      </c>
      <c r="J2055" s="4" t="s">
        <v>6168</v>
      </c>
      <c r="K2055" s="4" t="s">
        <v>6482</v>
      </c>
      <c r="L2055" s="5">
        <v>18757</v>
      </c>
    </row>
    <row r="2056" spans="1:12" x14ac:dyDescent="0.25">
      <c r="A2056" s="3" t="s">
        <v>1057</v>
      </c>
      <c r="B2056" s="4" t="s">
        <v>5664</v>
      </c>
      <c r="C2056" s="4" t="s">
        <v>25</v>
      </c>
      <c r="D2056" s="4" t="s">
        <v>26</v>
      </c>
      <c r="E2056" s="5" t="str">
        <f>"9541005"</f>
        <v>9541005</v>
      </c>
      <c r="F2056" s="3" t="s">
        <v>6483</v>
      </c>
      <c r="G2056" s="5">
        <v>2104619668</v>
      </c>
      <c r="H2056" s="4" t="s">
        <v>6484</v>
      </c>
      <c r="I2056" s="4" t="s">
        <v>5667</v>
      </c>
      <c r="J2056" s="4" t="s">
        <v>5939</v>
      </c>
      <c r="K2056" s="4" t="s">
        <v>6485</v>
      </c>
      <c r="L2056" s="5">
        <v>18648</v>
      </c>
    </row>
    <row r="2057" spans="1:12" x14ac:dyDescent="0.25">
      <c r="A2057" s="3" t="s">
        <v>6486</v>
      </c>
      <c r="B2057" s="4" t="s">
        <v>6487</v>
      </c>
      <c r="C2057" s="4" t="s">
        <v>14</v>
      </c>
      <c r="D2057" s="4" t="s">
        <v>15</v>
      </c>
      <c r="E2057" s="5" t="str">
        <f>"9330117"</f>
        <v>9330117</v>
      </c>
      <c r="F2057" s="3" t="s">
        <v>6488</v>
      </c>
      <c r="G2057" s="5">
        <v>2254071251</v>
      </c>
      <c r="H2057" s="4" t="s">
        <v>6489</v>
      </c>
      <c r="I2057" s="4" t="s">
        <v>6490</v>
      </c>
      <c r="J2057" s="4" t="s">
        <v>6491</v>
      </c>
      <c r="K2057" s="4" t="s">
        <v>6491</v>
      </c>
      <c r="L2057" s="5">
        <v>81401</v>
      </c>
    </row>
    <row r="2058" spans="1:12" x14ac:dyDescent="0.25">
      <c r="A2058" s="3" t="s">
        <v>6486</v>
      </c>
      <c r="B2058" s="4" t="s">
        <v>6487</v>
      </c>
      <c r="C2058" s="4" t="s">
        <v>14</v>
      </c>
      <c r="D2058" s="4" t="s">
        <v>15</v>
      </c>
      <c r="E2058" s="5" t="str">
        <f>"9330010"</f>
        <v>9330010</v>
      </c>
      <c r="F2058" s="3" t="s">
        <v>6492</v>
      </c>
      <c r="G2058" s="5">
        <v>2252042030</v>
      </c>
      <c r="H2058" s="4" t="s">
        <v>6493</v>
      </c>
      <c r="I2058" s="4" t="s">
        <v>6494</v>
      </c>
      <c r="J2058" s="4" t="s">
        <v>6495</v>
      </c>
      <c r="K2058" s="4" t="s">
        <v>6496</v>
      </c>
      <c r="L2058" s="5">
        <v>81300</v>
      </c>
    </row>
    <row r="2059" spans="1:12" x14ac:dyDescent="0.25">
      <c r="A2059" s="3" t="s">
        <v>6486</v>
      </c>
      <c r="B2059" s="4" t="s">
        <v>6487</v>
      </c>
      <c r="C2059" s="4" t="s">
        <v>14</v>
      </c>
      <c r="D2059" s="4" t="s">
        <v>15</v>
      </c>
      <c r="E2059" s="5" t="str">
        <f>"9330099"</f>
        <v>9330099</v>
      </c>
      <c r="F2059" s="3" t="s">
        <v>6497</v>
      </c>
      <c r="G2059" s="5">
        <v>2254031708</v>
      </c>
      <c r="H2059" s="4" t="s">
        <v>6498</v>
      </c>
      <c r="I2059" s="4" t="s">
        <v>6490</v>
      </c>
      <c r="J2059" s="4" t="s">
        <v>6499</v>
      </c>
      <c r="K2059" s="4" t="s">
        <v>6499</v>
      </c>
      <c r="L2059" s="5">
        <v>81401</v>
      </c>
    </row>
    <row r="2060" spans="1:12" x14ac:dyDescent="0.25">
      <c r="A2060" s="3" t="s">
        <v>6486</v>
      </c>
      <c r="B2060" s="4" t="s">
        <v>6487</v>
      </c>
      <c r="C2060" s="4" t="s">
        <v>14</v>
      </c>
      <c r="D2060" s="4" t="s">
        <v>15</v>
      </c>
      <c r="E2060" s="5" t="str">
        <f>"9330118"</f>
        <v>9330118</v>
      </c>
      <c r="F2060" s="3" t="s">
        <v>6500</v>
      </c>
      <c r="G2060" s="5">
        <v>2254092380</v>
      </c>
      <c r="H2060" s="4" t="s">
        <v>6501</v>
      </c>
      <c r="I2060" s="4" t="s">
        <v>6490</v>
      </c>
      <c r="J2060" s="4" t="s">
        <v>6502</v>
      </c>
      <c r="K2060" s="4" t="s">
        <v>6503</v>
      </c>
      <c r="L2060" s="5">
        <v>81400</v>
      </c>
    </row>
    <row r="2061" spans="1:12" x14ac:dyDescent="0.25">
      <c r="A2061" s="3" t="s">
        <v>6486</v>
      </c>
      <c r="B2061" s="4" t="s">
        <v>6487</v>
      </c>
      <c r="C2061" s="4" t="s">
        <v>25</v>
      </c>
      <c r="D2061" s="4" t="s">
        <v>26</v>
      </c>
      <c r="E2061" s="5" t="str">
        <f>"9330161"</f>
        <v>9330161</v>
      </c>
      <c r="F2061" s="3" t="s">
        <v>6504</v>
      </c>
      <c r="G2061" s="5">
        <v>2254071261</v>
      </c>
      <c r="H2061" s="4" t="s">
        <v>6505</v>
      </c>
      <c r="I2061" s="4" t="s">
        <v>6490</v>
      </c>
      <c r="J2061" s="4" t="s">
        <v>6506</v>
      </c>
      <c r="K2061" s="4" t="s">
        <v>6506</v>
      </c>
      <c r="L2061" s="5">
        <v>81401</v>
      </c>
    </row>
    <row r="2062" spans="1:12" ht="30" x14ac:dyDescent="0.25">
      <c r="A2062" s="3" t="s">
        <v>6486</v>
      </c>
      <c r="B2062" s="4" t="s">
        <v>6487</v>
      </c>
      <c r="C2062" s="4" t="s">
        <v>14</v>
      </c>
      <c r="D2062" s="4" t="s">
        <v>15</v>
      </c>
      <c r="E2062" s="5" t="str">
        <f>"9330088"</f>
        <v>9330088</v>
      </c>
      <c r="F2062" s="3" t="s">
        <v>6507</v>
      </c>
      <c r="G2062" s="5">
        <v>2251031294</v>
      </c>
      <c r="H2062" s="4" t="s">
        <v>6508</v>
      </c>
      <c r="I2062" s="4" t="s">
        <v>6509</v>
      </c>
      <c r="J2062" s="4" t="s">
        <v>6510</v>
      </c>
      <c r="K2062" s="4" t="s">
        <v>6511</v>
      </c>
      <c r="L2062" s="5">
        <v>81100</v>
      </c>
    </row>
    <row r="2063" spans="1:12" x14ac:dyDescent="0.25">
      <c r="A2063" s="3" t="s">
        <v>6486</v>
      </c>
      <c r="B2063" s="4" t="s">
        <v>6487</v>
      </c>
      <c r="C2063" s="4" t="s">
        <v>14</v>
      </c>
      <c r="D2063" s="4" t="s">
        <v>15</v>
      </c>
      <c r="E2063" s="5" t="str">
        <f>"9330001"</f>
        <v>9330001</v>
      </c>
      <c r="F2063" s="3" t="s">
        <v>6512</v>
      </c>
      <c r="G2063" s="5">
        <v>2252022243</v>
      </c>
      <c r="H2063" s="4" t="s">
        <v>6513</v>
      </c>
      <c r="I2063" s="4" t="s">
        <v>6509</v>
      </c>
      <c r="J2063" s="4" t="s">
        <v>6514</v>
      </c>
      <c r="K2063" s="4" t="s">
        <v>6514</v>
      </c>
      <c r="L2063" s="5">
        <v>81101</v>
      </c>
    </row>
    <row r="2064" spans="1:12" x14ac:dyDescent="0.25">
      <c r="A2064" s="3" t="s">
        <v>6486</v>
      </c>
      <c r="B2064" s="4" t="s">
        <v>6487</v>
      </c>
      <c r="C2064" s="4" t="s">
        <v>14</v>
      </c>
      <c r="D2064" s="4" t="s">
        <v>15</v>
      </c>
      <c r="E2064" s="5" t="str">
        <f>"9330110"</f>
        <v>9330110</v>
      </c>
      <c r="F2064" s="3" t="s">
        <v>6515</v>
      </c>
      <c r="G2064" s="5">
        <v>2254051375</v>
      </c>
      <c r="H2064" s="4" t="s">
        <v>6516</v>
      </c>
      <c r="I2064" s="4" t="s">
        <v>6490</v>
      </c>
      <c r="J2064" s="4" t="s">
        <v>6517</v>
      </c>
      <c r="K2064" s="4" t="s">
        <v>6517</v>
      </c>
      <c r="L2064" s="5">
        <v>81400</v>
      </c>
    </row>
    <row r="2065" spans="1:12" x14ac:dyDescent="0.25">
      <c r="A2065" s="3" t="s">
        <v>6486</v>
      </c>
      <c r="B2065" s="4" t="s">
        <v>6487</v>
      </c>
      <c r="C2065" s="4" t="s">
        <v>14</v>
      </c>
      <c r="D2065" s="4" t="s">
        <v>15</v>
      </c>
      <c r="E2065" s="5" t="str">
        <f>"9330222"</f>
        <v>9330222</v>
      </c>
      <c r="F2065" s="3" t="s">
        <v>6518</v>
      </c>
      <c r="G2065" s="5">
        <v>2251024067</v>
      </c>
      <c r="H2065" s="4" t="s">
        <v>6519</v>
      </c>
      <c r="I2065" s="4" t="s">
        <v>6509</v>
      </c>
      <c r="J2065" s="4" t="s">
        <v>6520</v>
      </c>
      <c r="K2065" s="4" t="s">
        <v>6521</v>
      </c>
      <c r="L2065" s="5">
        <v>81100</v>
      </c>
    </row>
    <row r="2066" spans="1:12" x14ac:dyDescent="0.25">
      <c r="A2066" s="3" t="s">
        <v>6486</v>
      </c>
      <c r="B2066" s="4" t="s">
        <v>6487</v>
      </c>
      <c r="C2066" s="4" t="s">
        <v>14</v>
      </c>
      <c r="D2066" s="4" t="s">
        <v>15</v>
      </c>
      <c r="E2066" s="5" t="str">
        <f>"9330004"</f>
        <v>9330004</v>
      </c>
      <c r="F2066" s="3" t="s">
        <v>6522</v>
      </c>
      <c r="G2066" s="5">
        <v>2251022726</v>
      </c>
      <c r="H2066" s="4" t="s">
        <v>6523</v>
      </c>
      <c r="I2066" s="4" t="s">
        <v>6509</v>
      </c>
      <c r="J2066" s="4" t="s">
        <v>6520</v>
      </c>
      <c r="K2066" s="4" t="s">
        <v>6524</v>
      </c>
      <c r="L2066" s="5">
        <v>81100</v>
      </c>
    </row>
    <row r="2067" spans="1:12" x14ac:dyDescent="0.25">
      <c r="A2067" s="3" t="s">
        <v>6486</v>
      </c>
      <c r="B2067" s="4" t="s">
        <v>6487</v>
      </c>
      <c r="C2067" s="4" t="s">
        <v>14</v>
      </c>
      <c r="D2067" s="4" t="s">
        <v>15</v>
      </c>
      <c r="E2067" s="5" t="str">
        <f>"9330033"</f>
        <v>9330033</v>
      </c>
      <c r="F2067" s="3" t="s">
        <v>6525</v>
      </c>
      <c r="G2067" s="5">
        <v>2252032273</v>
      </c>
      <c r="H2067" s="4" t="s">
        <v>6526</v>
      </c>
      <c r="I2067" s="4" t="s">
        <v>6509</v>
      </c>
      <c r="J2067" s="4" t="s">
        <v>6527</v>
      </c>
      <c r="K2067" s="4" t="s">
        <v>6528</v>
      </c>
      <c r="L2067" s="5">
        <v>81200</v>
      </c>
    </row>
    <row r="2068" spans="1:12" x14ac:dyDescent="0.25">
      <c r="A2068" s="3" t="s">
        <v>6486</v>
      </c>
      <c r="B2068" s="4" t="s">
        <v>6487</v>
      </c>
      <c r="C2068" s="4" t="s">
        <v>14</v>
      </c>
      <c r="D2068" s="4" t="s">
        <v>15</v>
      </c>
      <c r="E2068" s="5" t="str">
        <f>"9330061"</f>
        <v>9330061</v>
      </c>
      <c r="F2068" s="3" t="s">
        <v>6529</v>
      </c>
      <c r="G2068" s="5">
        <v>2253041204</v>
      </c>
      <c r="H2068" s="4" t="s">
        <v>6530</v>
      </c>
      <c r="I2068" s="4" t="s">
        <v>6494</v>
      </c>
      <c r="J2068" s="4" t="s">
        <v>6531</v>
      </c>
      <c r="K2068" s="4" t="s">
        <v>6531</v>
      </c>
      <c r="L2068" s="5">
        <v>81109</v>
      </c>
    </row>
    <row r="2069" spans="1:12" x14ac:dyDescent="0.25">
      <c r="A2069" s="3" t="s">
        <v>6486</v>
      </c>
      <c r="B2069" s="4" t="s">
        <v>6487</v>
      </c>
      <c r="C2069" s="4" t="s">
        <v>14</v>
      </c>
      <c r="D2069" s="4" t="s">
        <v>15</v>
      </c>
      <c r="E2069" s="5" t="str">
        <f>"9330079"</f>
        <v>9330079</v>
      </c>
      <c r="F2069" s="3" t="s">
        <v>6532</v>
      </c>
      <c r="G2069" s="5">
        <v>2253022343</v>
      </c>
      <c r="H2069" s="4" t="s">
        <v>6533</v>
      </c>
      <c r="I2069" s="4" t="s">
        <v>6494</v>
      </c>
      <c r="J2069" s="4" t="s">
        <v>6534</v>
      </c>
      <c r="K2069" s="4" t="s">
        <v>6535</v>
      </c>
      <c r="L2069" s="5">
        <v>81107</v>
      </c>
    </row>
    <row r="2070" spans="1:12" x14ac:dyDescent="0.25">
      <c r="A2070" s="3" t="s">
        <v>6486</v>
      </c>
      <c r="B2070" s="4" t="s">
        <v>6487</v>
      </c>
      <c r="C2070" s="4" t="s">
        <v>14</v>
      </c>
      <c r="D2070" s="4" t="s">
        <v>15</v>
      </c>
      <c r="E2070" s="5" t="str">
        <f>"9330094"</f>
        <v>9330094</v>
      </c>
      <c r="F2070" s="3" t="s">
        <v>6536</v>
      </c>
      <c r="G2070" s="5">
        <v>2254022559</v>
      </c>
      <c r="H2070" s="4" t="s">
        <v>6537</v>
      </c>
      <c r="I2070" s="4" t="s">
        <v>6490</v>
      </c>
      <c r="J2070" s="4" t="s">
        <v>6538</v>
      </c>
      <c r="K2070" s="4" t="s">
        <v>6539</v>
      </c>
      <c r="L2070" s="5">
        <v>81400</v>
      </c>
    </row>
    <row r="2071" spans="1:12" x14ac:dyDescent="0.25">
      <c r="A2071" s="3" t="s">
        <v>6486</v>
      </c>
      <c r="B2071" s="4" t="s">
        <v>6487</v>
      </c>
      <c r="C2071" s="4" t="s">
        <v>14</v>
      </c>
      <c r="D2071" s="4" t="s">
        <v>179</v>
      </c>
      <c r="E2071" s="5" t="str">
        <f>"9330047"</f>
        <v>9330047</v>
      </c>
      <c r="F2071" s="3" t="s">
        <v>6540</v>
      </c>
      <c r="G2071" s="5">
        <v>2253095225</v>
      </c>
      <c r="H2071" s="4" t="s">
        <v>6541</v>
      </c>
      <c r="I2071" s="4" t="s">
        <v>6494</v>
      </c>
      <c r="J2071" s="4" t="s">
        <v>6542</v>
      </c>
      <c r="K2071" s="4" t="s">
        <v>6542</v>
      </c>
      <c r="L2071" s="5">
        <v>81105</v>
      </c>
    </row>
    <row r="2072" spans="1:12" x14ac:dyDescent="0.25">
      <c r="A2072" s="3" t="s">
        <v>6486</v>
      </c>
      <c r="B2072" s="4" t="s">
        <v>6487</v>
      </c>
      <c r="C2072" s="4" t="s">
        <v>14</v>
      </c>
      <c r="D2072" s="4" t="s">
        <v>15</v>
      </c>
      <c r="E2072" s="5" t="str">
        <f>"9330065"</f>
        <v>9330065</v>
      </c>
      <c r="F2072" s="3" t="s">
        <v>6543</v>
      </c>
      <c r="G2072" s="5">
        <v>2253092393</v>
      </c>
      <c r="H2072" s="4" t="s">
        <v>6544</v>
      </c>
      <c r="I2072" s="4" t="s">
        <v>6494</v>
      </c>
      <c r="J2072" s="4" t="s">
        <v>6545</v>
      </c>
      <c r="K2072" s="4" t="s">
        <v>6545</v>
      </c>
      <c r="L2072" s="5">
        <v>81109</v>
      </c>
    </row>
    <row r="2073" spans="1:12" x14ac:dyDescent="0.25">
      <c r="A2073" s="3" t="s">
        <v>6486</v>
      </c>
      <c r="B2073" s="4" t="s">
        <v>6487</v>
      </c>
      <c r="C2073" s="4" t="s">
        <v>14</v>
      </c>
      <c r="D2073" s="4" t="s">
        <v>15</v>
      </c>
      <c r="E2073" s="5" t="str">
        <f>"9330046"</f>
        <v>9330046</v>
      </c>
      <c r="F2073" s="3" t="s">
        <v>6546</v>
      </c>
      <c r="G2073" s="5">
        <v>2253031291</v>
      </c>
      <c r="H2073" s="4" t="s">
        <v>6547</v>
      </c>
      <c r="I2073" s="4" t="s">
        <v>6494</v>
      </c>
      <c r="J2073" s="4" t="s">
        <v>6548</v>
      </c>
      <c r="K2073" s="4" t="s">
        <v>3167</v>
      </c>
      <c r="L2073" s="5">
        <v>81102</v>
      </c>
    </row>
    <row r="2074" spans="1:12" x14ac:dyDescent="0.25">
      <c r="A2074" s="3" t="s">
        <v>6486</v>
      </c>
      <c r="B2074" s="4" t="s">
        <v>6487</v>
      </c>
      <c r="C2074" s="4" t="s">
        <v>14</v>
      </c>
      <c r="D2074" s="4" t="s">
        <v>15</v>
      </c>
      <c r="E2074" s="5" t="str">
        <f>"9330032"</f>
        <v>9330032</v>
      </c>
      <c r="F2074" s="3" t="s">
        <v>6549</v>
      </c>
      <c r="G2074" s="5">
        <v>2252032774</v>
      </c>
      <c r="H2074" s="4" t="s">
        <v>6550</v>
      </c>
      <c r="I2074" s="4" t="s">
        <v>6509</v>
      </c>
      <c r="J2074" s="4"/>
      <c r="K2074" s="4" t="s">
        <v>6528</v>
      </c>
      <c r="L2074" s="5">
        <v>81200</v>
      </c>
    </row>
    <row r="2075" spans="1:12" x14ac:dyDescent="0.25">
      <c r="A2075" s="3" t="s">
        <v>6486</v>
      </c>
      <c r="B2075" s="4" t="s">
        <v>6487</v>
      </c>
      <c r="C2075" s="4" t="s">
        <v>14</v>
      </c>
      <c r="D2075" s="4" t="s">
        <v>15</v>
      </c>
      <c r="E2075" s="5" t="str">
        <f>"9330040"</f>
        <v>9330040</v>
      </c>
      <c r="F2075" s="3" t="s">
        <v>6551</v>
      </c>
      <c r="G2075" s="5">
        <v>2252032024</v>
      </c>
      <c r="H2075" s="4" t="s">
        <v>6552</v>
      </c>
      <c r="I2075" s="4" t="s">
        <v>6509</v>
      </c>
      <c r="J2075" s="4" t="s">
        <v>6553</v>
      </c>
      <c r="K2075" s="4" t="s">
        <v>6553</v>
      </c>
      <c r="L2075" s="5">
        <v>81200</v>
      </c>
    </row>
    <row r="2076" spans="1:12" x14ac:dyDescent="0.25">
      <c r="A2076" s="3" t="s">
        <v>6486</v>
      </c>
      <c r="B2076" s="4" t="s">
        <v>6487</v>
      </c>
      <c r="C2076" s="4" t="s">
        <v>14</v>
      </c>
      <c r="D2076" s="4" t="s">
        <v>15</v>
      </c>
      <c r="E2076" s="5" t="str">
        <f>"9330003"</f>
        <v>9330003</v>
      </c>
      <c r="F2076" s="3" t="s">
        <v>6554</v>
      </c>
      <c r="G2076" s="5">
        <v>2251025334</v>
      </c>
      <c r="H2076" s="4" t="s">
        <v>6555</v>
      </c>
      <c r="I2076" s="4" t="s">
        <v>6509</v>
      </c>
      <c r="J2076" s="4" t="s">
        <v>6556</v>
      </c>
      <c r="K2076" s="4" t="s">
        <v>6557</v>
      </c>
      <c r="L2076" s="5">
        <v>81100</v>
      </c>
    </row>
    <row r="2077" spans="1:12" x14ac:dyDescent="0.25">
      <c r="A2077" s="3" t="s">
        <v>6486</v>
      </c>
      <c r="B2077" s="4" t="s">
        <v>6487</v>
      </c>
      <c r="C2077" s="4" t="s">
        <v>25</v>
      </c>
      <c r="D2077" s="4" t="s">
        <v>26</v>
      </c>
      <c r="E2077" s="5" t="str">
        <f>"9330210"</f>
        <v>9330210</v>
      </c>
      <c r="F2077" s="3" t="s">
        <v>6558</v>
      </c>
      <c r="G2077" s="5">
        <v>2254026012</v>
      </c>
      <c r="H2077" s="4" t="s">
        <v>6559</v>
      </c>
      <c r="I2077" s="4" t="s">
        <v>6490</v>
      </c>
      <c r="J2077" s="4" t="s">
        <v>6560</v>
      </c>
      <c r="K2077" s="4" t="s">
        <v>6561</v>
      </c>
      <c r="L2077" s="5">
        <v>81400</v>
      </c>
    </row>
    <row r="2078" spans="1:12" x14ac:dyDescent="0.25">
      <c r="A2078" s="3" t="s">
        <v>6486</v>
      </c>
      <c r="B2078" s="4" t="s">
        <v>6487</v>
      </c>
      <c r="C2078" s="4" t="s">
        <v>25</v>
      </c>
      <c r="D2078" s="4" t="s">
        <v>26</v>
      </c>
      <c r="E2078" s="5" t="str">
        <f>"9330141"</f>
        <v>9330141</v>
      </c>
      <c r="F2078" s="3" t="s">
        <v>6562</v>
      </c>
      <c r="G2078" s="5">
        <v>2251026864</v>
      </c>
      <c r="H2078" s="4" t="s">
        <v>6563</v>
      </c>
      <c r="I2078" s="4" t="s">
        <v>6509</v>
      </c>
      <c r="J2078" s="4" t="s">
        <v>6564</v>
      </c>
      <c r="K2078" s="4" t="s">
        <v>6565</v>
      </c>
      <c r="L2078" s="5">
        <v>81100</v>
      </c>
    </row>
    <row r="2079" spans="1:12" x14ac:dyDescent="0.25">
      <c r="A2079" s="3" t="s">
        <v>6486</v>
      </c>
      <c r="B2079" s="4" t="s">
        <v>6487</v>
      </c>
      <c r="C2079" s="4" t="s">
        <v>14</v>
      </c>
      <c r="D2079" s="4" t="s">
        <v>15</v>
      </c>
      <c r="E2079" s="5" t="str">
        <f>"9330073"</f>
        <v>9330073</v>
      </c>
      <c r="F2079" s="3" t="s">
        <v>6566</v>
      </c>
      <c r="G2079" s="5">
        <v>2251028381</v>
      </c>
      <c r="H2079" s="4" t="s">
        <v>6567</v>
      </c>
      <c r="I2079" s="4" t="s">
        <v>6509</v>
      </c>
      <c r="J2079" s="4" t="s">
        <v>6520</v>
      </c>
      <c r="K2079" s="4" t="s">
        <v>6568</v>
      </c>
      <c r="L2079" s="5">
        <v>81100</v>
      </c>
    </row>
    <row r="2080" spans="1:12" x14ac:dyDescent="0.25">
      <c r="A2080" s="3" t="s">
        <v>6486</v>
      </c>
      <c r="B2080" s="4" t="s">
        <v>6487</v>
      </c>
      <c r="C2080" s="4" t="s">
        <v>14</v>
      </c>
      <c r="D2080" s="4" t="s">
        <v>179</v>
      </c>
      <c r="E2080" s="5" t="str">
        <f>"9330066"</f>
        <v>9330066</v>
      </c>
      <c r="F2080" s="3" t="s">
        <v>6569</v>
      </c>
      <c r="G2080" s="5">
        <v>2253091210</v>
      </c>
      <c r="H2080" s="4" t="s">
        <v>6570</v>
      </c>
      <c r="I2080" s="4" t="s">
        <v>6494</v>
      </c>
      <c r="J2080" s="4" t="s">
        <v>6571</v>
      </c>
      <c r="K2080" s="4" t="s">
        <v>6571</v>
      </c>
      <c r="L2080" s="5">
        <v>81109</v>
      </c>
    </row>
    <row r="2081" spans="1:12" x14ac:dyDescent="0.25">
      <c r="A2081" s="3" t="s">
        <v>6486</v>
      </c>
      <c r="B2081" s="4" t="s">
        <v>6487</v>
      </c>
      <c r="C2081" s="4" t="s">
        <v>14</v>
      </c>
      <c r="D2081" s="4" t="s">
        <v>15</v>
      </c>
      <c r="E2081" s="5" t="str">
        <f>"9330093"</f>
        <v>9330093</v>
      </c>
      <c r="F2081" s="3" t="s">
        <v>6572</v>
      </c>
      <c r="G2081" s="5">
        <v>2254022494</v>
      </c>
      <c r="H2081" s="4" t="s">
        <v>6573</v>
      </c>
      <c r="I2081" s="4" t="s">
        <v>6490</v>
      </c>
      <c r="J2081" s="4" t="s">
        <v>6574</v>
      </c>
      <c r="K2081" s="4" t="s">
        <v>6575</v>
      </c>
      <c r="L2081" s="5">
        <v>81400</v>
      </c>
    </row>
    <row r="2082" spans="1:12" x14ac:dyDescent="0.25">
      <c r="A2082" s="3" t="s">
        <v>6486</v>
      </c>
      <c r="B2082" s="4" t="s">
        <v>6487</v>
      </c>
      <c r="C2082" s="4" t="s">
        <v>14</v>
      </c>
      <c r="D2082" s="4" t="s">
        <v>15</v>
      </c>
      <c r="E2082" s="5" t="str">
        <f>"9330021"</f>
        <v>9330021</v>
      </c>
      <c r="F2082" s="3" t="s">
        <v>6576</v>
      </c>
      <c r="G2082" s="5">
        <v>2251091351</v>
      </c>
      <c r="H2082" s="4" t="s">
        <v>6577</v>
      </c>
      <c r="I2082" s="4" t="s">
        <v>6509</v>
      </c>
      <c r="J2082" s="4" t="s">
        <v>6578</v>
      </c>
      <c r="K2082" s="4" t="s">
        <v>6579</v>
      </c>
      <c r="L2082" s="5">
        <v>81100</v>
      </c>
    </row>
    <row r="2083" spans="1:12" x14ac:dyDescent="0.25">
      <c r="A2083" s="3" t="s">
        <v>6486</v>
      </c>
      <c r="B2083" s="4" t="s">
        <v>6487</v>
      </c>
      <c r="C2083" s="4" t="s">
        <v>25</v>
      </c>
      <c r="D2083" s="4" t="s">
        <v>26</v>
      </c>
      <c r="E2083" s="5" t="str">
        <f>"9520763"</f>
        <v>9520763</v>
      </c>
      <c r="F2083" s="3" t="s">
        <v>6580</v>
      </c>
      <c r="G2083" s="5">
        <v>2251044033</v>
      </c>
      <c r="H2083" s="4" t="s">
        <v>6581</v>
      </c>
      <c r="I2083" s="4" t="s">
        <v>6509</v>
      </c>
      <c r="J2083" s="4" t="s">
        <v>6582</v>
      </c>
      <c r="K2083" s="4" t="s">
        <v>6583</v>
      </c>
      <c r="L2083" s="5">
        <v>81100</v>
      </c>
    </row>
    <row r="2084" spans="1:12" x14ac:dyDescent="0.25">
      <c r="A2084" s="3" t="s">
        <v>6486</v>
      </c>
      <c r="B2084" s="4" t="s">
        <v>6487</v>
      </c>
      <c r="C2084" s="4" t="s">
        <v>14</v>
      </c>
      <c r="D2084" s="4" t="s">
        <v>15</v>
      </c>
      <c r="E2084" s="5" t="str">
        <f>"9330045"</f>
        <v>9330045</v>
      </c>
      <c r="F2084" s="3" t="s">
        <v>6584</v>
      </c>
      <c r="G2084" s="5">
        <v>2253071270</v>
      </c>
      <c r="H2084" s="4" t="s">
        <v>6585</v>
      </c>
      <c r="I2084" s="4" t="s">
        <v>6494</v>
      </c>
      <c r="J2084" s="4" t="s">
        <v>6586</v>
      </c>
      <c r="K2084" s="4" t="s">
        <v>6587</v>
      </c>
      <c r="L2084" s="5">
        <v>81108</v>
      </c>
    </row>
    <row r="2085" spans="1:12" x14ac:dyDescent="0.25">
      <c r="A2085" s="3" t="s">
        <v>6486</v>
      </c>
      <c r="B2085" s="4" t="s">
        <v>6487</v>
      </c>
      <c r="C2085" s="4" t="s">
        <v>14</v>
      </c>
      <c r="D2085" s="4" t="s">
        <v>15</v>
      </c>
      <c r="E2085" s="5" t="str">
        <f>"9330113"</f>
        <v>9330113</v>
      </c>
      <c r="F2085" s="3" t="s">
        <v>6588</v>
      </c>
      <c r="G2085" s="5">
        <v>2254041204</v>
      </c>
      <c r="H2085" s="4" t="s">
        <v>6589</v>
      </c>
      <c r="I2085" s="4" t="s">
        <v>6490</v>
      </c>
      <c r="J2085" s="4" t="s">
        <v>6590</v>
      </c>
      <c r="K2085" s="4" t="s">
        <v>6591</v>
      </c>
      <c r="L2085" s="5">
        <v>81401</v>
      </c>
    </row>
    <row r="2086" spans="1:12" x14ac:dyDescent="0.25">
      <c r="A2086" s="3" t="s">
        <v>6486</v>
      </c>
      <c r="B2086" s="4" t="s">
        <v>6487</v>
      </c>
      <c r="C2086" s="4" t="s">
        <v>25</v>
      </c>
      <c r="D2086" s="4" t="s">
        <v>26</v>
      </c>
      <c r="E2086" s="5" t="str">
        <f>"9330192"</f>
        <v>9330192</v>
      </c>
      <c r="F2086" s="3" t="s">
        <v>6592</v>
      </c>
      <c r="G2086" s="5">
        <v>2251052169</v>
      </c>
      <c r="H2086" s="4" t="s">
        <v>6593</v>
      </c>
      <c r="I2086" s="4" t="s">
        <v>6509</v>
      </c>
      <c r="J2086" s="4" t="s">
        <v>6594</v>
      </c>
      <c r="K2086" s="4" t="s">
        <v>6594</v>
      </c>
      <c r="L2086" s="5">
        <v>81106</v>
      </c>
    </row>
    <row r="2087" spans="1:12" ht="30" x14ac:dyDescent="0.25">
      <c r="A2087" s="3" t="s">
        <v>6486</v>
      </c>
      <c r="B2087" s="4" t="s">
        <v>6487</v>
      </c>
      <c r="C2087" s="4" t="s">
        <v>14</v>
      </c>
      <c r="D2087" s="4" t="s">
        <v>15</v>
      </c>
      <c r="E2087" s="5" t="str">
        <f>"9330083"</f>
        <v>9330083</v>
      </c>
      <c r="F2087" s="3" t="s">
        <v>6595</v>
      </c>
      <c r="G2087" s="5">
        <v>2253061202</v>
      </c>
      <c r="H2087" s="4" t="s">
        <v>6596</v>
      </c>
      <c r="I2087" s="4" t="s">
        <v>6494</v>
      </c>
      <c r="J2087" s="4" t="s">
        <v>6597</v>
      </c>
      <c r="K2087" s="4" t="s">
        <v>6597</v>
      </c>
      <c r="L2087" s="5">
        <v>81104</v>
      </c>
    </row>
    <row r="2088" spans="1:12" x14ac:dyDescent="0.25">
      <c r="A2088" s="3" t="s">
        <v>6486</v>
      </c>
      <c r="B2088" s="4" t="s">
        <v>6487</v>
      </c>
      <c r="C2088" s="4" t="s">
        <v>14</v>
      </c>
      <c r="D2088" s="4" t="s">
        <v>15</v>
      </c>
      <c r="E2088" s="5" t="str">
        <f>"9330029"</f>
        <v>9330029</v>
      </c>
      <c r="F2088" s="3" t="s">
        <v>6598</v>
      </c>
      <c r="G2088" s="5">
        <v>2251082426</v>
      </c>
      <c r="H2088" s="4" t="s">
        <v>6599</v>
      </c>
      <c r="I2088" s="4" t="s">
        <v>6509</v>
      </c>
      <c r="J2088" s="4" t="s">
        <v>6600</v>
      </c>
      <c r="K2088" s="4" t="s">
        <v>6600</v>
      </c>
      <c r="L2088" s="5">
        <v>81106</v>
      </c>
    </row>
    <row r="2089" spans="1:12" x14ac:dyDescent="0.25">
      <c r="A2089" s="3" t="s">
        <v>6486</v>
      </c>
      <c r="B2089" s="4" t="s">
        <v>6487</v>
      </c>
      <c r="C2089" s="4" t="s">
        <v>14</v>
      </c>
      <c r="D2089" s="4" t="s">
        <v>15</v>
      </c>
      <c r="E2089" s="5" t="str">
        <f>"9330005"</f>
        <v>9330005</v>
      </c>
      <c r="F2089" s="3" t="s">
        <v>6601</v>
      </c>
      <c r="G2089" s="5">
        <v>2251022721</v>
      </c>
      <c r="H2089" s="4" t="s">
        <v>6602</v>
      </c>
      <c r="I2089" s="4" t="s">
        <v>6509</v>
      </c>
      <c r="J2089" s="4" t="s">
        <v>6520</v>
      </c>
      <c r="K2089" s="4" t="s">
        <v>6603</v>
      </c>
      <c r="L2089" s="5">
        <v>81100</v>
      </c>
    </row>
    <row r="2090" spans="1:12" x14ac:dyDescent="0.25">
      <c r="A2090" s="3" t="s">
        <v>6486</v>
      </c>
      <c r="B2090" s="4" t="s">
        <v>6487</v>
      </c>
      <c r="C2090" s="4" t="s">
        <v>14</v>
      </c>
      <c r="D2090" s="4" t="s">
        <v>15</v>
      </c>
      <c r="E2090" s="5" t="str">
        <f>"9330082"</f>
        <v>9330082</v>
      </c>
      <c r="F2090" s="3" t="s">
        <v>6604</v>
      </c>
      <c r="G2090" s="5">
        <v>2251071055</v>
      </c>
      <c r="H2090" s="4" t="s">
        <v>6605</v>
      </c>
      <c r="I2090" s="4" t="s">
        <v>6509</v>
      </c>
      <c r="J2090" s="4" t="s">
        <v>6606</v>
      </c>
      <c r="K2090" s="4" t="s">
        <v>6607</v>
      </c>
      <c r="L2090" s="5">
        <v>81150</v>
      </c>
    </row>
    <row r="2091" spans="1:12" x14ac:dyDescent="0.25">
      <c r="A2091" s="3" t="s">
        <v>6486</v>
      </c>
      <c r="B2091" s="4" t="s">
        <v>6487</v>
      </c>
      <c r="C2091" s="4" t="s">
        <v>14</v>
      </c>
      <c r="D2091" s="4" t="s">
        <v>179</v>
      </c>
      <c r="E2091" s="5" t="str">
        <f>"9330049"</f>
        <v>9330049</v>
      </c>
      <c r="F2091" s="3" t="s">
        <v>6608</v>
      </c>
      <c r="G2091" s="5">
        <v>2253056205</v>
      </c>
      <c r="H2091" s="4" t="s">
        <v>6609</v>
      </c>
      <c r="I2091" s="4" t="s">
        <v>6494</v>
      </c>
      <c r="J2091" s="4" t="s">
        <v>6610</v>
      </c>
      <c r="K2091" s="4" t="s">
        <v>6610</v>
      </c>
      <c r="L2091" s="5">
        <v>81103</v>
      </c>
    </row>
    <row r="2092" spans="1:12" x14ac:dyDescent="0.25">
      <c r="A2092" s="3" t="s">
        <v>6486</v>
      </c>
      <c r="B2092" s="4" t="s">
        <v>6487</v>
      </c>
      <c r="C2092" s="4" t="s">
        <v>25</v>
      </c>
      <c r="D2092" s="4" t="s">
        <v>26</v>
      </c>
      <c r="E2092" s="5" t="str">
        <f>"9330091"</f>
        <v>9330091</v>
      </c>
      <c r="F2092" s="3" t="s">
        <v>6611</v>
      </c>
      <c r="G2092" s="5">
        <v>2254022322</v>
      </c>
      <c r="H2092" s="4" t="s">
        <v>6612</v>
      </c>
      <c r="I2092" s="4" t="s">
        <v>6490</v>
      </c>
      <c r="J2092" s="4" t="s">
        <v>6560</v>
      </c>
      <c r="K2092" s="4" t="s">
        <v>6613</v>
      </c>
      <c r="L2092" s="5">
        <v>81400</v>
      </c>
    </row>
    <row r="2093" spans="1:12" x14ac:dyDescent="0.25">
      <c r="A2093" s="3" t="s">
        <v>6486</v>
      </c>
      <c r="B2093" s="4" t="s">
        <v>6487</v>
      </c>
      <c r="C2093" s="4" t="s">
        <v>25</v>
      </c>
      <c r="D2093" s="4" t="s">
        <v>26</v>
      </c>
      <c r="E2093" s="5" t="str">
        <f>"9330202"</f>
        <v>9330202</v>
      </c>
      <c r="F2093" s="3" t="s">
        <v>6614</v>
      </c>
      <c r="G2093" s="5">
        <v>2251032288</v>
      </c>
      <c r="H2093" s="4" t="s">
        <v>6615</v>
      </c>
      <c r="I2093" s="4" t="s">
        <v>6509</v>
      </c>
      <c r="J2093" s="4" t="s">
        <v>6616</v>
      </c>
      <c r="K2093" s="4" t="s">
        <v>6616</v>
      </c>
      <c r="L2093" s="5">
        <v>81100</v>
      </c>
    </row>
    <row r="2094" spans="1:12" x14ac:dyDescent="0.25">
      <c r="A2094" s="3" t="s">
        <v>6486</v>
      </c>
      <c r="B2094" s="4" t="s">
        <v>6487</v>
      </c>
      <c r="C2094" s="4" t="s">
        <v>25</v>
      </c>
      <c r="D2094" s="4" t="s">
        <v>26</v>
      </c>
      <c r="E2094" s="5" t="str">
        <f>"9330071"</f>
        <v>9330071</v>
      </c>
      <c r="F2094" s="3" t="s">
        <v>6617</v>
      </c>
      <c r="G2094" s="5">
        <v>2251047687</v>
      </c>
      <c r="H2094" s="4" t="s">
        <v>6618</v>
      </c>
      <c r="I2094" s="4" t="s">
        <v>6509</v>
      </c>
      <c r="J2094" s="4" t="s">
        <v>6564</v>
      </c>
      <c r="K2094" s="4" t="s">
        <v>6619</v>
      </c>
      <c r="L2094" s="5">
        <v>81131</v>
      </c>
    </row>
    <row r="2095" spans="1:12" x14ac:dyDescent="0.25">
      <c r="A2095" s="3" t="s">
        <v>6486</v>
      </c>
      <c r="B2095" s="4" t="s">
        <v>6487</v>
      </c>
      <c r="C2095" s="4" t="s">
        <v>14</v>
      </c>
      <c r="D2095" s="4" t="s">
        <v>15</v>
      </c>
      <c r="E2095" s="5" t="str">
        <f>"9330074"</f>
        <v>9330074</v>
      </c>
      <c r="F2095" s="3" t="s">
        <v>6620</v>
      </c>
      <c r="G2095" s="5">
        <v>2251022625</v>
      </c>
      <c r="H2095" s="4" t="s">
        <v>6621</v>
      </c>
      <c r="I2095" s="4" t="s">
        <v>6509</v>
      </c>
      <c r="J2095" s="4" t="s">
        <v>6520</v>
      </c>
      <c r="K2095" s="4" t="s">
        <v>6622</v>
      </c>
      <c r="L2095" s="5">
        <v>81131</v>
      </c>
    </row>
    <row r="2096" spans="1:12" x14ac:dyDescent="0.25">
      <c r="A2096" s="3" t="s">
        <v>6486</v>
      </c>
      <c r="B2096" s="4" t="s">
        <v>6487</v>
      </c>
      <c r="C2096" s="4" t="s">
        <v>14</v>
      </c>
      <c r="D2096" s="4" t="s">
        <v>15</v>
      </c>
      <c r="E2096" s="5" t="str">
        <f>"9330087"</f>
        <v>9330087</v>
      </c>
      <c r="F2096" s="3" t="s">
        <v>6623</v>
      </c>
      <c r="G2096" s="5">
        <v>2251031388</v>
      </c>
      <c r="H2096" s="4" t="s">
        <v>6624</v>
      </c>
      <c r="I2096" s="4" t="s">
        <v>6509</v>
      </c>
      <c r="J2096" s="4" t="s">
        <v>6625</v>
      </c>
      <c r="K2096" s="4" t="s">
        <v>6626</v>
      </c>
      <c r="L2096" s="5">
        <v>81100</v>
      </c>
    </row>
    <row r="2097" spans="1:12" x14ac:dyDescent="0.25">
      <c r="A2097" s="3" t="s">
        <v>6486</v>
      </c>
      <c r="B2097" s="4" t="s">
        <v>6487</v>
      </c>
      <c r="C2097" s="4" t="s">
        <v>14</v>
      </c>
      <c r="D2097" s="4" t="s">
        <v>15</v>
      </c>
      <c r="E2097" s="5" t="str">
        <f>"9330214"</f>
        <v>9330214</v>
      </c>
      <c r="F2097" s="3" t="s">
        <v>6627</v>
      </c>
      <c r="G2097" s="5">
        <v>2254022919</v>
      </c>
      <c r="H2097" s="4" t="s">
        <v>6628</v>
      </c>
      <c r="I2097" s="4" t="s">
        <v>6490</v>
      </c>
      <c r="J2097" s="4" t="s">
        <v>6574</v>
      </c>
      <c r="K2097" s="4" t="s">
        <v>6629</v>
      </c>
      <c r="L2097" s="5">
        <v>81400</v>
      </c>
    </row>
    <row r="2098" spans="1:12" x14ac:dyDescent="0.25">
      <c r="A2098" s="3" t="s">
        <v>6486</v>
      </c>
      <c r="B2098" s="4" t="s">
        <v>6487</v>
      </c>
      <c r="C2098" s="4" t="s">
        <v>25</v>
      </c>
      <c r="D2098" s="4" t="s">
        <v>26</v>
      </c>
      <c r="E2098" s="5" t="str">
        <f>"9330174"</f>
        <v>9330174</v>
      </c>
      <c r="F2098" s="3" t="s">
        <v>6630</v>
      </c>
      <c r="G2098" s="5">
        <v>2254092138</v>
      </c>
      <c r="H2098" s="4" t="s">
        <v>6631</v>
      </c>
      <c r="I2098" s="4" t="s">
        <v>6490</v>
      </c>
      <c r="J2098" s="4" t="s">
        <v>6632</v>
      </c>
      <c r="K2098" s="4" t="s">
        <v>6503</v>
      </c>
      <c r="L2098" s="5">
        <v>81400</v>
      </c>
    </row>
    <row r="2099" spans="1:12" x14ac:dyDescent="0.25">
      <c r="A2099" s="3" t="s">
        <v>6486</v>
      </c>
      <c r="B2099" s="4" t="s">
        <v>6487</v>
      </c>
      <c r="C2099" s="4" t="s">
        <v>14</v>
      </c>
      <c r="D2099" s="4" t="s">
        <v>15</v>
      </c>
      <c r="E2099" s="5" t="str">
        <f>"9330043"</f>
        <v>9330043</v>
      </c>
      <c r="F2099" s="3" t="s">
        <v>6633</v>
      </c>
      <c r="G2099" s="5">
        <v>2253053225</v>
      </c>
      <c r="H2099" s="4" t="s">
        <v>6634</v>
      </c>
      <c r="I2099" s="4" t="s">
        <v>6494</v>
      </c>
      <c r="J2099" s="4"/>
      <c r="K2099" s="4" t="s">
        <v>6635</v>
      </c>
      <c r="L2099" s="5">
        <v>81105</v>
      </c>
    </row>
    <row r="2100" spans="1:12" x14ac:dyDescent="0.25">
      <c r="A2100" s="3" t="s">
        <v>6486</v>
      </c>
      <c r="B2100" s="4" t="s">
        <v>6487</v>
      </c>
      <c r="C2100" s="4" t="s">
        <v>25</v>
      </c>
      <c r="D2100" s="4" t="s">
        <v>26</v>
      </c>
      <c r="E2100" s="5" t="str">
        <f>"9330166"</f>
        <v>9330166</v>
      </c>
      <c r="F2100" s="3" t="s">
        <v>6636</v>
      </c>
      <c r="G2100" s="5">
        <v>2253022004</v>
      </c>
      <c r="H2100" s="4" t="s">
        <v>6637</v>
      </c>
      <c r="I2100" s="4" t="s">
        <v>6494</v>
      </c>
      <c r="J2100" s="4" t="s">
        <v>6638</v>
      </c>
      <c r="K2100" s="4" t="s">
        <v>6639</v>
      </c>
      <c r="L2100" s="5">
        <v>81107</v>
      </c>
    </row>
    <row r="2101" spans="1:12" x14ac:dyDescent="0.25">
      <c r="A2101" s="3" t="s">
        <v>6486</v>
      </c>
      <c r="B2101" s="4" t="s">
        <v>6487</v>
      </c>
      <c r="C2101" s="4" t="s">
        <v>25</v>
      </c>
      <c r="D2101" s="4" t="s">
        <v>26</v>
      </c>
      <c r="E2101" s="5" t="str">
        <f>"9330205"</f>
        <v>9330205</v>
      </c>
      <c r="F2101" s="3" t="s">
        <v>6640</v>
      </c>
      <c r="G2101" s="5">
        <v>2252033244</v>
      </c>
      <c r="H2101" s="4" t="s">
        <v>6641</v>
      </c>
      <c r="I2101" s="4" t="s">
        <v>6509</v>
      </c>
      <c r="J2101" s="4" t="s">
        <v>6642</v>
      </c>
      <c r="K2101" s="4" t="s">
        <v>6642</v>
      </c>
      <c r="L2101" s="5">
        <v>81200</v>
      </c>
    </row>
    <row r="2102" spans="1:12" x14ac:dyDescent="0.25">
      <c r="A2102" s="3" t="s">
        <v>6486</v>
      </c>
      <c r="B2102" s="4" t="s">
        <v>6487</v>
      </c>
      <c r="C2102" s="4" t="s">
        <v>25</v>
      </c>
      <c r="D2102" s="4" t="s">
        <v>26</v>
      </c>
      <c r="E2102" s="5" t="str">
        <f>"9330149"</f>
        <v>9330149</v>
      </c>
      <c r="F2102" s="3" t="s">
        <v>6643</v>
      </c>
      <c r="G2102" s="5">
        <v>2252031552</v>
      </c>
      <c r="H2102" s="4" t="s">
        <v>6644</v>
      </c>
      <c r="I2102" s="4" t="s">
        <v>6509</v>
      </c>
      <c r="J2102" s="4" t="s">
        <v>6645</v>
      </c>
      <c r="K2102" s="4" t="s">
        <v>6528</v>
      </c>
      <c r="L2102" s="5">
        <v>81200</v>
      </c>
    </row>
    <row r="2103" spans="1:12" x14ac:dyDescent="0.25">
      <c r="A2103" s="3" t="s">
        <v>6486</v>
      </c>
      <c r="B2103" s="4" t="s">
        <v>6487</v>
      </c>
      <c r="C2103" s="4" t="s">
        <v>25</v>
      </c>
      <c r="D2103" s="4" t="s">
        <v>26</v>
      </c>
      <c r="E2103" s="5" t="str">
        <f>"9330224"</f>
        <v>9330224</v>
      </c>
      <c r="F2103" s="3" t="s">
        <v>6646</v>
      </c>
      <c r="G2103" s="5">
        <v>2251043143</v>
      </c>
      <c r="H2103" s="4" t="s">
        <v>6647</v>
      </c>
      <c r="I2103" s="4" t="s">
        <v>6509</v>
      </c>
      <c r="J2103" s="4" t="s">
        <v>6564</v>
      </c>
      <c r="K2103" s="4" t="s">
        <v>6648</v>
      </c>
      <c r="L2103" s="5">
        <v>81100</v>
      </c>
    </row>
    <row r="2104" spans="1:12" x14ac:dyDescent="0.25">
      <c r="A2104" s="3" t="s">
        <v>6486</v>
      </c>
      <c r="B2104" s="4" t="s">
        <v>6487</v>
      </c>
      <c r="C2104" s="4" t="s">
        <v>14</v>
      </c>
      <c r="D2104" s="4" t="s">
        <v>15</v>
      </c>
      <c r="E2104" s="5" t="str">
        <f>"9330006"</f>
        <v>9330006</v>
      </c>
      <c r="F2104" s="3" t="s">
        <v>6649</v>
      </c>
      <c r="G2104" s="5">
        <v>2251028149</v>
      </c>
      <c r="H2104" s="4" t="s">
        <v>6650</v>
      </c>
      <c r="I2104" s="4" t="s">
        <v>6509</v>
      </c>
      <c r="J2104" s="4" t="s">
        <v>6520</v>
      </c>
      <c r="K2104" s="4" t="s">
        <v>6651</v>
      </c>
      <c r="L2104" s="5">
        <v>81100</v>
      </c>
    </row>
    <row r="2105" spans="1:12" x14ac:dyDescent="0.25">
      <c r="A2105" s="3" t="s">
        <v>6486</v>
      </c>
      <c r="B2105" s="4" t="s">
        <v>6487</v>
      </c>
      <c r="C2105" s="4" t="s">
        <v>14</v>
      </c>
      <c r="D2105" s="4" t="s">
        <v>15</v>
      </c>
      <c r="E2105" s="5" t="str">
        <f>"9330009"</f>
        <v>9330009</v>
      </c>
      <c r="F2105" s="3" t="s">
        <v>6652</v>
      </c>
      <c r="G2105" s="5">
        <v>2251024659</v>
      </c>
      <c r="H2105" s="4" t="s">
        <v>6653</v>
      </c>
      <c r="I2105" s="4" t="s">
        <v>6509</v>
      </c>
      <c r="J2105" s="4" t="s">
        <v>6654</v>
      </c>
      <c r="K2105" s="4" t="s">
        <v>6655</v>
      </c>
      <c r="L2105" s="5">
        <v>81100</v>
      </c>
    </row>
    <row r="2106" spans="1:12" x14ac:dyDescent="0.25">
      <c r="A2106" s="3" t="s">
        <v>6486</v>
      </c>
      <c r="B2106" s="4" t="s">
        <v>6487</v>
      </c>
      <c r="C2106" s="4" t="s">
        <v>25</v>
      </c>
      <c r="D2106" s="4" t="s">
        <v>26</v>
      </c>
      <c r="E2106" s="5" t="str">
        <f>"9330162"</f>
        <v>9330162</v>
      </c>
      <c r="F2106" s="3" t="s">
        <v>6656</v>
      </c>
      <c r="G2106" s="5">
        <v>2251028652</v>
      </c>
      <c r="H2106" s="4" t="s">
        <v>6657</v>
      </c>
      <c r="I2106" s="4" t="s">
        <v>6509</v>
      </c>
      <c r="J2106" s="4" t="s">
        <v>6658</v>
      </c>
      <c r="K2106" s="4" t="s">
        <v>6659</v>
      </c>
      <c r="L2106" s="5">
        <v>81100</v>
      </c>
    </row>
    <row r="2107" spans="1:12" x14ac:dyDescent="0.25">
      <c r="A2107" s="3" t="s">
        <v>6486</v>
      </c>
      <c r="B2107" s="4" t="s">
        <v>6487</v>
      </c>
      <c r="C2107" s="4" t="s">
        <v>25</v>
      </c>
      <c r="D2107" s="4" t="s">
        <v>26</v>
      </c>
      <c r="E2107" s="5" t="str">
        <f>"9330211"</f>
        <v>9330211</v>
      </c>
      <c r="F2107" s="3" t="s">
        <v>6660</v>
      </c>
      <c r="G2107" s="5">
        <v>2251061261</v>
      </c>
      <c r="H2107" s="4" t="s">
        <v>6661</v>
      </c>
      <c r="I2107" s="4" t="s">
        <v>6509</v>
      </c>
      <c r="J2107" s="4" t="s">
        <v>6662</v>
      </c>
      <c r="K2107" s="4" t="s">
        <v>6662</v>
      </c>
      <c r="L2107" s="5">
        <v>81100</v>
      </c>
    </row>
    <row r="2108" spans="1:12" x14ac:dyDescent="0.25">
      <c r="A2108" s="3" t="s">
        <v>6486</v>
      </c>
      <c r="B2108" s="4" t="s">
        <v>6487</v>
      </c>
      <c r="C2108" s="4" t="s">
        <v>14</v>
      </c>
      <c r="D2108" s="4" t="s">
        <v>15</v>
      </c>
      <c r="E2108" s="5" t="str">
        <f>"9520879"</f>
        <v>9520879</v>
      </c>
      <c r="F2108" s="3" t="s">
        <v>6663</v>
      </c>
      <c r="G2108" s="5">
        <v>2251044238</v>
      </c>
      <c r="H2108" s="4" t="s">
        <v>6664</v>
      </c>
      <c r="I2108" s="4" t="s">
        <v>6509</v>
      </c>
      <c r="J2108" s="4" t="s">
        <v>6520</v>
      </c>
      <c r="K2108" s="4" t="s">
        <v>6665</v>
      </c>
      <c r="L2108" s="5">
        <v>81100</v>
      </c>
    </row>
    <row r="2109" spans="1:12" x14ac:dyDescent="0.25">
      <c r="A2109" s="3" t="s">
        <v>6486</v>
      </c>
      <c r="B2109" s="4" t="s">
        <v>6487</v>
      </c>
      <c r="C2109" s="4" t="s">
        <v>25</v>
      </c>
      <c r="D2109" s="4" t="s">
        <v>26</v>
      </c>
      <c r="E2109" s="5" t="str">
        <f>"9330157"</f>
        <v>9330157</v>
      </c>
      <c r="F2109" s="3" t="s">
        <v>6666</v>
      </c>
      <c r="G2109" s="5">
        <v>2251084472</v>
      </c>
      <c r="H2109" s="4" t="s">
        <v>6667</v>
      </c>
      <c r="I2109" s="4" t="s">
        <v>6509</v>
      </c>
      <c r="J2109" s="4" t="s">
        <v>6668</v>
      </c>
      <c r="K2109" s="4" t="s">
        <v>6669</v>
      </c>
      <c r="L2109" s="5">
        <v>81106</v>
      </c>
    </row>
    <row r="2110" spans="1:12" x14ac:dyDescent="0.25">
      <c r="A2110" s="3" t="s">
        <v>6486</v>
      </c>
      <c r="B2110" s="4" t="s">
        <v>6487</v>
      </c>
      <c r="C2110" s="4" t="s">
        <v>14</v>
      </c>
      <c r="D2110" s="4" t="s">
        <v>15</v>
      </c>
      <c r="E2110" s="5" t="str">
        <f>"9330016"</f>
        <v>9330016</v>
      </c>
      <c r="F2110" s="3" t="s">
        <v>6670</v>
      </c>
      <c r="G2110" s="5">
        <v>2251093474</v>
      </c>
      <c r="H2110" s="4" t="s">
        <v>6671</v>
      </c>
      <c r="I2110" s="4" t="s">
        <v>6509</v>
      </c>
      <c r="J2110" s="4" t="s">
        <v>6672</v>
      </c>
      <c r="K2110" s="4" t="s">
        <v>6672</v>
      </c>
      <c r="L2110" s="5">
        <v>81101</v>
      </c>
    </row>
    <row r="2111" spans="1:12" x14ac:dyDescent="0.25">
      <c r="A2111" s="3" t="s">
        <v>6486</v>
      </c>
      <c r="B2111" s="4" t="s">
        <v>6487</v>
      </c>
      <c r="C2111" s="4" t="s">
        <v>14</v>
      </c>
      <c r="D2111" s="4" t="s">
        <v>15</v>
      </c>
      <c r="E2111" s="5" t="str">
        <f>"9330216"</f>
        <v>9330216</v>
      </c>
      <c r="F2111" s="3" t="s">
        <v>6673</v>
      </c>
      <c r="G2111" s="5">
        <v>2251046994</v>
      </c>
      <c r="H2111" s="4" t="s">
        <v>6674</v>
      </c>
      <c r="I2111" s="4" t="s">
        <v>6509</v>
      </c>
      <c r="J2111" s="4" t="s">
        <v>6582</v>
      </c>
      <c r="K2111" s="4" t="s">
        <v>6675</v>
      </c>
      <c r="L2111" s="5">
        <v>81100</v>
      </c>
    </row>
    <row r="2112" spans="1:12" x14ac:dyDescent="0.25">
      <c r="A2112" s="3" t="s">
        <v>6486</v>
      </c>
      <c r="B2112" s="4" t="s">
        <v>6487</v>
      </c>
      <c r="C2112" s="4" t="s">
        <v>14</v>
      </c>
      <c r="D2112" s="4" t="s">
        <v>15</v>
      </c>
      <c r="E2112" s="5" t="str">
        <f>"9330007"</f>
        <v>9330007</v>
      </c>
      <c r="F2112" s="3" t="s">
        <v>6676</v>
      </c>
      <c r="G2112" s="5">
        <v>2251022538</v>
      </c>
      <c r="H2112" s="4" t="s">
        <v>6677</v>
      </c>
      <c r="I2112" s="4" t="s">
        <v>6509</v>
      </c>
      <c r="J2112" s="4" t="s">
        <v>6520</v>
      </c>
      <c r="K2112" s="4" t="s">
        <v>6678</v>
      </c>
      <c r="L2112" s="5">
        <v>81100</v>
      </c>
    </row>
    <row r="2113" spans="1:12" x14ac:dyDescent="0.25">
      <c r="A2113" s="3" t="s">
        <v>6486</v>
      </c>
      <c r="B2113" s="4" t="s">
        <v>6487</v>
      </c>
      <c r="C2113" s="4" t="s">
        <v>25</v>
      </c>
      <c r="D2113" s="4" t="s">
        <v>26</v>
      </c>
      <c r="E2113" s="5" t="str">
        <f>"9330140"</f>
        <v>9330140</v>
      </c>
      <c r="F2113" s="3" t="s">
        <v>6679</v>
      </c>
      <c r="G2113" s="5">
        <v>2252041233</v>
      </c>
      <c r="H2113" s="4" t="s">
        <v>6680</v>
      </c>
      <c r="I2113" s="4" t="s">
        <v>6494</v>
      </c>
      <c r="J2113" s="4" t="s">
        <v>6681</v>
      </c>
      <c r="K2113" s="4" t="s">
        <v>6681</v>
      </c>
      <c r="L2113" s="5">
        <v>81300</v>
      </c>
    </row>
    <row r="2114" spans="1:12" x14ac:dyDescent="0.25">
      <c r="A2114" s="3" t="s">
        <v>6486</v>
      </c>
      <c r="B2114" s="4" t="s">
        <v>6487</v>
      </c>
      <c r="C2114" s="4" t="s">
        <v>14</v>
      </c>
      <c r="D2114" s="4" t="s">
        <v>15</v>
      </c>
      <c r="E2114" s="5" t="str">
        <f>"9330026"</f>
        <v>9330026</v>
      </c>
      <c r="F2114" s="3" t="s">
        <v>6682</v>
      </c>
      <c r="G2114" s="5">
        <v>2251082242</v>
      </c>
      <c r="H2114" s="4" t="s">
        <v>6683</v>
      </c>
      <c r="I2114" s="4" t="s">
        <v>6509</v>
      </c>
      <c r="J2114" s="4" t="s">
        <v>6684</v>
      </c>
      <c r="K2114" s="4" t="s">
        <v>6684</v>
      </c>
      <c r="L2114" s="5">
        <v>81106</v>
      </c>
    </row>
    <row r="2115" spans="1:12" x14ac:dyDescent="0.25">
      <c r="A2115" s="3" t="s">
        <v>6486</v>
      </c>
      <c r="B2115" s="4" t="s">
        <v>6487</v>
      </c>
      <c r="C2115" s="4" t="s">
        <v>14</v>
      </c>
      <c r="D2115" s="4" t="s">
        <v>15</v>
      </c>
      <c r="E2115" s="5" t="str">
        <f>"9330085"</f>
        <v>9330085</v>
      </c>
      <c r="F2115" s="3" t="s">
        <v>6685</v>
      </c>
      <c r="G2115" s="5">
        <v>2251031464</v>
      </c>
      <c r="H2115" s="4" t="s">
        <v>6686</v>
      </c>
      <c r="I2115" s="4" t="s">
        <v>6509</v>
      </c>
      <c r="J2115" s="4" t="s">
        <v>6687</v>
      </c>
      <c r="K2115" s="4" t="s">
        <v>6687</v>
      </c>
      <c r="L2115" s="5">
        <v>81100</v>
      </c>
    </row>
    <row r="2116" spans="1:12" x14ac:dyDescent="0.25">
      <c r="A2116" s="3" t="s">
        <v>6486</v>
      </c>
      <c r="B2116" s="4" t="s">
        <v>6487</v>
      </c>
      <c r="C2116" s="4" t="s">
        <v>14</v>
      </c>
      <c r="D2116" s="4" t="s">
        <v>15</v>
      </c>
      <c r="E2116" s="5" t="str">
        <f>"9330027"</f>
        <v>9330027</v>
      </c>
      <c r="F2116" s="3" t="s">
        <v>6688</v>
      </c>
      <c r="G2116" s="5">
        <v>2251051200</v>
      </c>
      <c r="H2116" s="4" t="s">
        <v>6689</v>
      </c>
      <c r="I2116" s="4" t="s">
        <v>6509</v>
      </c>
      <c r="J2116" s="4" t="s">
        <v>6594</v>
      </c>
      <c r="K2116" s="4" t="s">
        <v>6690</v>
      </c>
      <c r="L2116" s="5">
        <v>81106</v>
      </c>
    </row>
    <row r="2117" spans="1:12" x14ac:dyDescent="0.25">
      <c r="A2117" s="3" t="s">
        <v>6486</v>
      </c>
      <c r="B2117" s="4" t="s">
        <v>6487</v>
      </c>
      <c r="C2117" s="4" t="s">
        <v>14</v>
      </c>
      <c r="D2117" s="4" t="s">
        <v>15</v>
      </c>
      <c r="E2117" s="5" t="str">
        <f>"9330075"</f>
        <v>9330075</v>
      </c>
      <c r="F2117" s="3" t="s">
        <v>6691</v>
      </c>
      <c r="G2117" s="5">
        <v>2251022001</v>
      </c>
      <c r="H2117" s="4" t="s">
        <v>6692</v>
      </c>
      <c r="I2117" s="4" t="s">
        <v>6509</v>
      </c>
      <c r="J2117" s="4" t="s">
        <v>6520</v>
      </c>
      <c r="K2117" s="4" t="s">
        <v>6693</v>
      </c>
      <c r="L2117" s="5">
        <v>81100</v>
      </c>
    </row>
    <row r="2118" spans="1:12" x14ac:dyDescent="0.25">
      <c r="A2118" s="3" t="s">
        <v>6486</v>
      </c>
      <c r="B2118" s="4" t="s">
        <v>6487</v>
      </c>
      <c r="C2118" s="4" t="s">
        <v>14</v>
      </c>
      <c r="D2118" s="4" t="s">
        <v>15</v>
      </c>
      <c r="E2118" s="5" t="str">
        <f>"9330196"</f>
        <v>9330196</v>
      </c>
      <c r="F2118" s="3" t="s">
        <v>6694</v>
      </c>
      <c r="G2118" s="5">
        <v>2251021977</v>
      </c>
      <c r="H2118" s="4" t="s">
        <v>6695</v>
      </c>
      <c r="I2118" s="4" t="s">
        <v>6509</v>
      </c>
      <c r="J2118" s="4" t="s">
        <v>6696</v>
      </c>
      <c r="K2118" s="4" t="s">
        <v>6697</v>
      </c>
      <c r="L2118" s="5">
        <v>81100</v>
      </c>
    </row>
    <row r="2119" spans="1:12" x14ac:dyDescent="0.25">
      <c r="A2119" s="3" t="s">
        <v>6486</v>
      </c>
      <c r="B2119" s="4" t="s">
        <v>6487</v>
      </c>
      <c r="C2119" s="4" t="s">
        <v>14</v>
      </c>
      <c r="D2119" s="4" t="s">
        <v>15</v>
      </c>
      <c r="E2119" s="5" t="str">
        <f>"9330054"</f>
        <v>9330054</v>
      </c>
      <c r="F2119" s="3" t="s">
        <v>6698</v>
      </c>
      <c r="G2119" s="5">
        <v>2253022283</v>
      </c>
      <c r="H2119" s="4" t="s">
        <v>6699</v>
      </c>
      <c r="I2119" s="4" t="s">
        <v>6494</v>
      </c>
      <c r="J2119" s="4" t="s">
        <v>6638</v>
      </c>
      <c r="K2119" s="4" t="s">
        <v>6638</v>
      </c>
      <c r="L2119" s="5">
        <v>81107</v>
      </c>
    </row>
    <row r="2120" spans="1:12" x14ac:dyDescent="0.25">
      <c r="A2120" s="3" t="s">
        <v>6486</v>
      </c>
      <c r="B2120" s="4" t="s">
        <v>6487</v>
      </c>
      <c r="C2120" s="4" t="s">
        <v>25</v>
      </c>
      <c r="D2120" s="4" t="s">
        <v>26</v>
      </c>
      <c r="E2120" s="5" t="str">
        <f>"9330235"</f>
        <v>9330235</v>
      </c>
      <c r="F2120" s="3" t="s">
        <v>6700</v>
      </c>
      <c r="G2120" s="5">
        <v>2253041247</v>
      </c>
      <c r="H2120" s="4" t="s">
        <v>6701</v>
      </c>
      <c r="I2120" s="4" t="s">
        <v>6494</v>
      </c>
      <c r="J2120" s="4" t="s">
        <v>6531</v>
      </c>
      <c r="K2120" s="4" t="s">
        <v>6531</v>
      </c>
      <c r="L2120" s="5">
        <v>81109</v>
      </c>
    </row>
    <row r="2121" spans="1:12" x14ac:dyDescent="0.25">
      <c r="A2121" s="3" t="s">
        <v>6486</v>
      </c>
      <c r="B2121" s="4" t="s">
        <v>6487</v>
      </c>
      <c r="C2121" s="4" t="s">
        <v>14</v>
      </c>
      <c r="D2121" s="4" t="s">
        <v>15</v>
      </c>
      <c r="E2121" s="5" t="str">
        <f>"9330053"</f>
        <v>9330053</v>
      </c>
      <c r="F2121" s="3" t="s">
        <v>6702</v>
      </c>
      <c r="G2121" s="5">
        <v>2253022332</v>
      </c>
      <c r="H2121" s="4" t="s">
        <v>6703</v>
      </c>
      <c r="I2121" s="4" t="s">
        <v>6494</v>
      </c>
      <c r="J2121" s="4" t="s">
        <v>6704</v>
      </c>
      <c r="K2121" s="4" t="s">
        <v>6705</v>
      </c>
      <c r="L2121" s="5">
        <v>81107</v>
      </c>
    </row>
    <row r="2122" spans="1:12" x14ac:dyDescent="0.25">
      <c r="A2122" s="3" t="s">
        <v>6486</v>
      </c>
      <c r="B2122" s="4" t="s">
        <v>6487</v>
      </c>
      <c r="C2122" s="4" t="s">
        <v>25</v>
      </c>
      <c r="D2122" s="4" t="s">
        <v>26</v>
      </c>
      <c r="E2122" s="5" t="str">
        <f>"9330143"</f>
        <v>9330143</v>
      </c>
      <c r="F2122" s="3" t="s">
        <v>6706</v>
      </c>
      <c r="G2122" s="5">
        <v>2253031365</v>
      </c>
      <c r="H2122" s="4" t="s">
        <v>6707</v>
      </c>
      <c r="I2122" s="4" t="s">
        <v>6494</v>
      </c>
      <c r="J2122" s="4" t="s">
        <v>3167</v>
      </c>
      <c r="K2122" s="4" t="s">
        <v>3167</v>
      </c>
      <c r="L2122" s="5">
        <v>81102</v>
      </c>
    </row>
    <row r="2123" spans="1:12" x14ac:dyDescent="0.25">
      <c r="A2123" s="3" t="s">
        <v>6486</v>
      </c>
      <c r="B2123" s="4" t="s">
        <v>6487</v>
      </c>
      <c r="C2123" s="4" t="s">
        <v>25</v>
      </c>
      <c r="D2123" s="4" t="s">
        <v>26</v>
      </c>
      <c r="E2123" s="5" t="str">
        <f>"9330238"</f>
        <v>9330238</v>
      </c>
      <c r="F2123" s="3" t="s">
        <v>6708</v>
      </c>
      <c r="G2123" s="5">
        <v>2251020243</v>
      </c>
      <c r="H2123" s="4" t="s">
        <v>6709</v>
      </c>
      <c r="I2123" s="4" t="s">
        <v>6509</v>
      </c>
      <c r="J2123" s="4" t="s">
        <v>6520</v>
      </c>
      <c r="K2123" s="4" t="s">
        <v>6710</v>
      </c>
      <c r="L2123" s="5">
        <v>81100</v>
      </c>
    </row>
    <row r="2124" spans="1:12" x14ac:dyDescent="0.25">
      <c r="A2124" s="3" t="s">
        <v>6486</v>
      </c>
      <c r="B2124" s="4" t="s">
        <v>6487</v>
      </c>
      <c r="C2124" s="4" t="s">
        <v>14</v>
      </c>
      <c r="D2124" s="4" t="s">
        <v>15</v>
      </c>
      <c r="E2124" s="5" t="str">
        <f>"9330031"</f>
        <v>9330031</v>
      </c>
      <c r="F2124" s="3" t="s">
        <v>6711</v>
      </c>
      <c r="G2124" s="5">
        <v>2251061414</v>
      </c>
      <c r="H2124" s="4" t="s">
        <v>6712</v>
      </c>
      <c r="I2124" s="4" t="s">
        <v>6509</v>
      </c>
      <c r="J2124" s="4" t="s">
        <v>6713</v>
      </c>
      <c r="K2124" s="4" t="s">
        <v>6714</v>
      </c>
      <c r="L2124" s="5">
        <v>81100</v>
      </c>
    </row>
    <row r="2125" spans="1:12" x14ac:dyDescent="0.25">
      <c r="A2125" s="3" t="s">
        <v>6486</v>
      </c>
      <c r="B2125" s="4" t="s">
        <v>6715</v>
      </c>
      <c r="C2125" s="4" t="s">
        <v>25</v>
      </c>
      <c r="D2125" s="4" t="s">
        <v>26</v>
      </c>
      <c r="E2125" s="5" t="str">
        <f>"9430086"</f>
        <v>9430086</v>
      </c>
      <c r="F2125" s="3" t="s">
        <v>6716</v>
      </c>
      <c r="G2125" s="5">
        <v>2273061454</v>
      </c>
      <c r="H2125" s="4" t="s">
        <v>6717</v>
      </c>
      <c r="I2125" s="4" t="s">
        <v>6718</v>
      </c>
      <c r="J2125" s="4" t="s">
        <v>6719</v>
      </c>
      <c r="K2125" s="4" t="s">
        <v>6720</v>
      </c>
      <c r="L2125" s="5">
        <v>83103</v>
      </c>
    </row>
    <row r="2126" spans="1:12" x14ac:dyDescent="0.25">
      <c r="A2126" s="3" t="s">
        <v>6486</v>
      </c>
      <c r="B2126" s="4" t="s">
        <v>6715</v>
      </c>
      <c r="C2126" s="4" t="s">
        <v>25</v>
      </c>
      <c r="D2126" s="4" t="s">
        <v>26</v>
      </c>
      <c r="E2126" s="5" t="str">
        <f>"9430109"</f>
        <v>9430109</v>
      </c>
      <c r="F2126" s="3" t="s">
        <v>6721</v>
      </c>
      <c r="G2126" s="5">
        <v>2273032973</v>
      </c>
      <c r="H2126" s="4" t="s">
        <v>6722</v>
      </c>
      <c r="I2126" s="4" t="s">
        <v>6723</v>
      </c>
      <c r="J2126" s="4" t="s">
        <v>6724</v>
      </c>
      <c r="K2126" s="4" t="s">
        <v>6725</v>
      </c>
      <c r="L2126" s="5">
        <v>83200</v>
      </c>
    </row>
    <row r="2127" spans="1:12" x14ac:dyDescent="0.25">
      <c r="A2127" s="3" t="s">
        <v>6486</v>
      </c>
      <c r="B2127" s="4" t="s">
        <v>6715</v>
      </c>
      <c r="C2127" s="4" t="s">
        <v>25</v>
      </c>
      <c r="D2127" s="4" t="s">
        <v>26</v>
      </c>
      <c r="E2127" s="5" t="str">
        <f>"9430098"</f>
        <v>9430098</v>
      </c>
      <c r="F2127" s="3" t="s">
        <v>6726</v>
      </c>
      <c r="G2127" s="5">
        <v>2273091440</v>
      </c>
      <c r="H2127" s="4" t="s">
        <v>6727</v>
      </c>
      <c r="I2127" s="4" t="s">
        <v>6718</v>
      </c>
      <c r="J2127" s="4" t="s">
        <v>6728</v>
      </c>
      <c r="K2127" s="4" t="s">
        <v>6729</v>
      </c>
      <c r="L2127" s="5">
        <v>83103</v>
      </c>
    </row>
    <row r="2128" spans="1:12" x14ac:dyDescent="0.25">
      <c r="A2128" s="3" t="s">
        <v>6486</v>
      </c>
      <c r="B2128" s="4" t="s">
        <v>6715</v>
      </c>
      <c r="C2128" s="4" t="s">
        <v>25</v>
      </c>
      <c r="D2128" s="4" t="s">
        <v>26</v>
      </c>
      <c r="E2128" s="5" t="str">
        <f>"9520772"</f>
        <v>9520772</v>
      </c>
      <c r="F2128" s="3" t="s">
        <v>6730</v>
      </c>
      <c r="G2128" s="5">
        <v>2273030410</v>
      </c>
      <c r="H2128" s="4" t="s">
        <v>6731</v>
      </c>
      <c r="I2128" s="4" t="s">
        <v>6723</v>
      </c>
      <c r="J2128" s="4" t="s">
        <v>6732</v>
      </c>
      <c r="K2128" s="4" t="s">
        <v>6733</v>
      </c>
      <c r="L2128" s="5">
        <v>83200</v>
      </c>
    </row>
    <row r="2129" spans="1:12" x14ac:dyDescent="0.25">
      <c r="A2129" s="3" t="s">
        <v>6486</v>
      </c>
      <c r="B2129" s="4" t="s">
        <v>6715</v>
      </c>
      <c r="C2129" s="4" t="s">
        <v>14</v>
      </c>
      <c r="D2129" s="4" t="s">
        <v>15</v>
      </c>
      <c r="E2129" s="5" t="str">
        <f>"9430074"</f>
        <v>9430074</v>
      </c>
      <c r="F2129" s="3" t="s">
        <v>6734</v>
      </c>
      <c r="G2129" s="5">
        <v>2273061231</v>
      </c>
      <c r="H2129" s="4" t="s">
        <v>6735</v>
      </c>
      <c r="I2129" s="4" t="s">
        <v>6718</v>
      </c>
      <c r="J2129" s="4" t="s">
        <v>6736</v>
      </c>
      <c r="K2129" s="4" t="s">
        <v>6737</v>
      </c>
      <c r="L2129" s="5">
        <v>83103</v>
      </c>
    </row>
    <row r="2130" spans="1:12" x14ac:dyDescent="0.25">
      <c r="A2130" s="3" t="s">
        <v>6486</v>
      </c>
      <c r="B2130" s="4" t="s">
        <v>6715</v>
      </c>
      <c r="C2130" s="4" t="s">
        <v>25</v>
      </c>
      <c r="D2130" s="4" t="s">
        <v>26</v>
      </c>
      <c r="E2130" s="5" t="str">
        <f>"9430091"</f>
        <v>9430091</v>
      </c>
      <c r="F2130" s="3" t="s">
        <v>6738</v>
      </c>
      <c r="G2130" s="5">
        <v>2273051365</v>
      </c>
      <c r="H2130" s="4" t="s">
        <v>6739</v>
      </c>
      <c r="I2130" s="4" t="s">
        <v>6718</v>
      </c>
      <c r="J2130" s="4" t="s">
        <v>6740</v>
      </c>
      <c r="K2130" s="4" t="s">
        <v>6741</v>
      </c>
      <c r="L2130" s="5">
        <v>83101</v>
      </c>
    </row>
    <row r="2131" spans="1:12" x14ac:dyDescent="0.25">
      <c r="A2131" s="3" t="s">
        <v>6486</v>
      </c>
      <c r="B2131" s="4" t="s">
        <v>6715</v>
      </c>
      <c r="C2131" s="4" t="s">
        <v>25</v>
      </c>
      <c r="D2131" s="4" t="s">
        <v>821</v>
      </c>
      <c r="E2131" s="5" t="str">
        <f>"9430099"</f>
        <v>9430099</v>
      </c>
      <c r="F2131" s="3" t="s">
        <v>6742</v>
      </c>
      <c r="G2131" s="5">
        <v>2273027197</v>
      </c>
      <c r="H2131" s="4" t="s">
        <v>6743</v>
      </c>
      <c r="I2131" s="4" t="s">
        <v>6718</v>
      </c>
      <c r="J2131" s="4" t="s">
        <v>6744</v>
      </c>
      <c r="K2131" s="4" t="s">
        <v>6745</v>
      </c>
      <c r="L2131" s="5">
        <v>83100</v>
      </c>
    </row>
    <row r="2132" spans="1:12" x14ac:dyDescent="0.25">
      <c r="A2132" s="3" t="s">
        <v>6486</v>
      </c>
      <c r="B2132" s="4" t="s">
        <v>6715</v>
      </c>
      <c r="C2132" s="4" t="s">
        <v>25</v>
      </c>
      <c r="D2132" s="4" t="s">
        <v>26</v>
      </c>
      <c r="E2132" s="5" t="str">
        <f>"9430082"</f>
        <v>9430082</v>
      </c>
      <c r="F2132" s="3" t="s">
        <v>6746</v>
      </c>
      <c r="G2132" s="5">
        <v>2273032565</v>
      </c>
      <c r="H2132" s="4" t="s">
        <v>6747</v>
      </c>
      <c r="I2132" s="4" t="s">
        <v>6723</v>
      </c>
      <c r="J2132" s="4" t="s">
        <v>6748</v>
      </c>
      <c r="K2132" s="4" t="s">
        <v>6749</v>
      </c>
      <c r="L2132" s="5">
        <v>83200</v>
      </c>
    </row>
    <row r="2133" spans="1:12" x14ac:dyDescent="0.25">
      <c r="A2133" s="3" t="s">
        <v>6486</v>
      </c>
      <c r="B2133" s="4" t="s">
        <v>6715</v>
      </c>
      <c r="C2133" s="4" t="s">
        <v>14</v>
      </c>
      <c r="D2133" s="4" t="s">
        <v>15</v>
      </c>
      <c r="E2133" s="5" t="str">
        <f>"9430041"</f>
        <v>9430041</v>
      </c>
      <c r="F2133" s="3" t="s">
        <v>6750</v>
      </c>
      <c r="G2133" s="5">
        <v>2273032393</v>
      </c>
      <c r="H2133" s="4" t="s">
        <v>6751</v>
      </c>
      <c r="I2133" s="4" t="s">
        <v>6723</v>
      </c>
      <c r="J2133" s="4" t="s">
        <v>6752</v>
      </c>
      <c r="K2133" s="4" t="s">
        <v>6753</v>
      </c>
      <c r="L2133" s="5">
        <v>83200</v>
      </c>
    </row>
    <row r="2134" spans="1:12" x14ac:dyDescent="0.25">
      <c r="A2134" s="3" t="s">
        <v>6486</v>
      </c>
      <c r="B2134" s="4" t="s">
        <v>6715</v>
      </c>
      <c r="C2134" s="4" t="s">
        <v>25</v>
      </c>
      <c r="D2134" s="4" t="s">
        <v>26</v>
      </c>
      <c r="E2134" s="5" t="str">
        <f>"9430093"</f>
        <v>9430093</v>
      </c>
      <c r="F2134" s="3" t="s">
        <v>6754</v>
      </c>
      <c r="G2134" s="5">
        <v>2273032350</v>
      </c>
      <c r="H2134" s="4" t="s">
        <v>6755</v>
      </c>
      <c r="I2134" s="4" t="s">
        <v>6723</v>
      </c>
      <c r="J2134" s="4" t="s">
        <v>6748</v>
      </c>
      <c r="K2134" s="4" t="s">
        <v>6753</v>
      </c>
      <c r="L2134" s="5">
        <v>83200</v>
      </c>
    </row>
    <row r="2135" spans="1:12" x14ac:dyDescent="0.25">
      <c r="A2135" s="3" t="s">
        <v>6486</v>
      </c>
      <c r="B2135" s="4" t="s">
        <v>6715</v>
      </c>
      <c r="C2135" s="4" t="s">
        <v>14</v>
      </c>
      <c r="D2135" s="4" t="s">
        <v>15</v>
      </c>
      <c r="E2135" s="5" t="str">
        <f>"9430038"</f>
        <v>9430038</v>
      </c>
      <c r="F2135" s="3" t="s">
        <v>6756</v>
      </c>
      <c r="G2135" s="5">
        <v>2273032877</v>
      </c>
      <c r="H2135" s="4" t="s">
        <v>6757</v>
      </c>
      <c r="I2135" s="4" t="s">
        <v>6723</v>
      </c>
      <c r="J2135" s="4" t="s">
        <v>6725</v>
      </c>
      <c r="K2135" s="4" t="s">
        <v>2590</v>
      </c>
      <c r="L2135" s="5">
        <v>83200</v>
      </c>
    </row>
    <row r="2136" spans="1:12" x14ac:dyDescent="0.25">
      <c r="A2136" s="3" t="s">
        <v>6486</v>
      </c>
      <c r="B2136" s="4" t="s">
        <v>6715</v>
      </c>
      <c r="C2136" s="4" t="s">
        <v>14</v>
      </c>
      <c r="D2136" s="4" t="s">
        <v>15</v>
      </c>
      <c r="E2136" s="5" t="str">
        <f>"9430045"</f>
        <v>9430045</v>
      </c>
      <c r="F2136" s="3" t="s">
        <v>6758</v>
      </c>
      <c r="G2136" s="5">
        <v>2273025268</v>
      </c>
      <c r="H2136" s="4" t="s">
        <v>6759</v>
      </c>
      <c r="I2136" s="4" t="s">
        <v>6718</v>
      </c>
      <c r="J2136" s="4" t="s">
        <v>6760</v>
      </c>
      <c r="K2136" s="4" t="s">
        <v>6761</v>
      </c>
      <c r="L2136" s="5">
        <v>83100</v>
      </c>
    </row>
    <row r="2137" spans="1:12" x14ac:dyDescent="0.25">
      <c r="A2137" s="3" t="s">
        <v>6486</v>
      </c>
      <c r="B2137" s="4" t="s">
        <v>6715</v>
      </c>
      <c r="C2137" s="4" t="s">
        <v>14</v>
      </c>
      <c r="D2137" s="4" t="s">
        <v>15</v>
      </c>
      <c r="E2137" s="5" t="str">
        <f>"9430069"</f>
        <v>9430069</v>
      </c>
      <c r="F2137" s="3" t="s">
        <v>6762</v>
      </c>
      <c r="G2137" s="5">
        <v>2273051282</v>
      </c>
      <c r="H2137" s="4" t="s">
        <v>6763</v>
      </c>
      <c r="I2137" s="4" t="s">
        <v>6718</v>
      </c>
      <c r="J2137" s="4" t="s">
        <v>6764</v>
      </c>
      <c r="K2137" s="4" t="s">
        <v>6765</v>
      </c>
      <c r="L2137" s="5">
        <v>83101</v>
      </c>
    </row>
    <row r="2138" spans="1:12" x14ac:dyDescent="0.25">
      <c r="A2138" s="3" t="s">
        <v>6486</v>
      </c>
      <c r="B2138" s="4" t="s">
        <v>6715</v>
      </c>
      <c r="C2138" s="4" t="s">
        <v>25</v>
      </c>
      <c r="D2138" s="4" t="s">
        <v>26</v>
      </c>
      <c r="E2138" s="5" t="str">
        <f>"9430085"</f>
        <v>9430085</v>
      </c>
      <c r="F2138" s="3" t="s">
        <v>6766</v>
      </c>
      <c r="G2138" s="5">
        <v>2273038310</v>
      </c>
      <c r="H2138" s="4" t="s">
        <v>6767</v>
      </c>
      <c r="I2138" s="4" t="s">
        <v>6723</v>
      </c>
      <c r="J2138" s="4" t="s">
        <v>6768</v>
      </c>
      <c r="K2138" s="4" t="s">
        <v>6769</v>
      </c>
      <c r="L2138" s="5">
        <v>83102</v>
      </c>
    </row>
    <row r="2139" spans="1:12" x14ac:dyDescent="0.25">
      <c r="A2139" s="3" t="s">
        <v>6486</v>
      </c>
      <c r="B2139" s="4" t="s">
        <v>6715</v>
      </c>
      <c r="C2139" s="4" t="s">
        <v>14</v>
      </c>
      <c r="D2139" s="4" t="s">
        <v>15</v>
      </c>
      <c r="E2139" s="5" t="str">
        <f>"9430043"</f>
        <v>9430043</v>
      </c>
      <c r="F2139" s="3" t="s">
        <v>6770</v>
      </c>
      <c r="G2139" s="5">
        <v>2273027378</v>
      </c>
      <c r="H2139" s="4" t="s">
        <v>6771</v>
      </c>
      <c r="I2139" s="4" t="s">
        <v>6718</v>
      </c>
      <c r="J2139" s="4" t="s">
        <v>6772</v>
      </c>
      <c r="K2139" s="4" t="s">
        <v>6773</v>
      </c>
      <c r="L2139" s="5">
        <v>83100</v>
      </c>
    </row>
    <row r="2140" spans="1:12" x14ac:dyDescent="0.25">
      <c r="A2140" s="3" t="s">
        <v>6486</v>
      </c>
      <c r="B2140" s="4" t="s">
        <v>6715</v>
      </c>
      <c r="C2140" s="4" t="s">
        <v>14</v>
      </c>
      <c r="D2140" s="4" t="s">
        <v>15</v>
      </c>
      <c r="E2140" s="5" t="str">
        <f>"9430049"</f>
        <v>9430049</v>
      </c>
      <c r="F2140" s="3" t="s">
        <v>6774</v>
      </c>
      <c r="G2140" s="5">
        <v>2273027503</v>
      </c>
      <c r="H2140" s="4" t="s">
        <v>6775</v>
      </c>
      <c r="I2140" s="4" t="s">
        <v>6718</v>
      </c>
      <c r="J2140" s="4"/>
      <c r="K2140" s="4" t="s">
        <v>6776</v>
      </c>
      <c r="L2140" s="5">
        <v>83100</v>
      </c>
    </row>
    <row r="2141" spans="1:12" x14ac:dyDescent="0.25">
      <c r="A2141" s="3" t="s">
        <v>6486</v>
      </c>
      <c r="B2141" s="4" t="s">
        <v>6715</v>
      </c>
      <c r="C2141" s="4" t="s">
        <v>14</v>
      </c>
      <c r="D2141" s="4" t="s">
        <v>830</v>
      </c>
      <c r="E2141" s="5" t="str">
        <f>"9430044"</f>
        <v>9430044</v>
      </c>
      <c r="F2141" s="3" t="s">
        <v>6777</v>
      </c>
      <c r="G2141" s="5">
        <v>2273027770</v>
      </c>
      <c r="H2141" s="4" t="s">
        <v>6778</v>
      </c>
      <c r="I2141" s="4" t="s">
        <v>6718</v>
      </c>
      <c r="J2141" s="4" t="s">
        <v>6779</v>
      </c>
      <c r="K2141" s="4" t="s">
        <v>6780</v>
      </c>
      <c r="L2141" s="5">
        <v>83100</v>
      </c>
    </row>
    <row r="2142" spans="1:12" x14ac:dyDescent="0.25">
      <c r="A2142" s="3" t="s">
        <v>6486</v>
      </c>
      <c r="B2142" s="4" t="s">
        <v>6715</v>
      </c>
      <c r="C2142" s="4" t="s">
        <v>14</v>
      </c>
      <c r="D2142" s="4" t="s">
        <v>15</v>
      </c>
      <c r="E2142" s="5" t="str">
        <f>"9430039"</f>
        <v>9430039</v>
      </c>
      <c r="F2142" s="3" t="s">
        <v>6781</v>
      </c>
      <c r="G2142" s="5">
        <v>2273032572</v>
      </c>
      <c r="H2142" s="4" t="s">
        <v>6782</v>
      </c>
      <c r="I2142" s="4" t="s">
        <v>6723</v>
      </c>
      <c r="J2142" s="4" t="s">
        <v>6732</v>
      </c>
      <c r="K2142" s="4" t="s">
        <v>6783</v>
      </c>
      <c r="L2142" s="5">
        <v>83200</v>
      </c>
    </row>
    <row r="2143" spans="1:12" x14ac:dyDescent="0.25">
      <c r="A2143" s="3" t="s">
        <v>6486</v>
      </c>
      <c r="B2143" s="4" t="s">
        <v>6715</v>
      </c>
      <c r="C2143" s="4" t="s">
        <v>14</v>
      </c>
      <c r="D2143" s="4" t="s">
        <v>15</v>
      </c>
      <c r="E2143" s="5" t="str">
        <f>"9430063"</f>
        <v>9430063</v>
      </c>
      <c r="F2143" s="3" t="s">
        <v>6784</v>
      </c>
      <c r="G2143" s="5">
        <v>2273031275</v>
      </c>
      <c r="H2143" s="4" t="s">
        <v>6785</v>
      </c>
      <c r="I2143" s="4" t="s">
        <v>6723</v>
      </c>
      <c r="J2143" s="4" t="s">
        <v>6769</v>
      </c>
      <c r="K2143" s="4" t="s">
        <v>6769</v>
      </c>
      <c r="L2143" s="5">
        <v>83102</v>
      </c>
    </row>
    <row r="2144" spans="1:12" x14ac:dyDescent="0.25">
      <c r="A2144" s="3" t="s">
        <v>6486</v>
      </c>
      <c r="B2144" s="4" t="s">
        <v>6715</v>
      </c>
      <c r="C2144" s="4" t="s">
        <v>14</v>
      </c>
      <c r="D2144" s="4" t="s">
        <v>15</v>
      </c>
      <c r="E2144" s="5" t="str">
        <f>"9430032"</f>
        <v>9430032</v>
      </c>
      <c r="F2144" s="3" t="s">
        <v>6786</v>
      </c>
      <c r="G2144" s="5">
        <v>2275051374</v>
      </c>
      <c r="H2144" s="4" t="s">
        <v>6787</v>
      </c>
      <c r="I2144" s="4" t="s">
        <v>6788</v>
      </c>
      <c r="J2144" s="4" t="s">
        <v>6789</v>
      </c>
      <c r="K2144" s="4" t="s">
        <v>6790</v>
      </c>
      <c r="L2144" s="5">
        <v>83400</v>
      </c>
    </row>
    <row r="2145" spans="1:12" x14ac:dyDescent="0.25">
      <c r="A2145" s="3" t="s">
        <v>6486</v>
      </c>
      <c r="B2145" s="4" t="s">
        <v>6715</v>
      </c>
      <c r="C2145" s="4" t="s">
        <v>14</v>
      </c>
      <c r="D2145" s="4" t="s">
        <v>15</v>
      </c>
      <c r="E2145" s="5" t="str">
        <f>"9430030"</f>
        <v>9430030</v>
      </c>
      <c r="F2145" s="3" t="s">
        <v>6791</v>
      </c>
      <c r="G2145" s="5">
        <v>2275041346</v>
      </c>
      <c r="H2145" s="4" t="s">
        <v>6792</v>
      </c>
      <c r="I2145" s="4" t="s">
        <v>6793</v>
      </c>
      <c r="J2145" s="4" t="s">
        <v>6794</v>
      </c>
      <c r="K2145" s="4" t="s">
        <v>6795</v>
      </c>
      <c r="L2145" s="5">
        <v>83301</v>
      </c>
    </row>
    <row r="2146" spans="1:12" x14ac:dyDescent="0.25">
      <c r="A2146" s="3" t="s">
        <v>6486</v>
      </c>
      <c r="B2146" s="4" t="s">
        <v>6715</v>
      </c>
      <c r="C2146" s="4" t="s">
        <v>14</v>
      </c>
      <c r="D2146" s="4" t="s">
        <v>179</v>
      </c>
      <c r="E2146" s="5" t="str">
        <f>"9430031"</f>
        <v>9430031</v>
      </c>
      <c r="F2146" s="3" t="s">
        <v>6796</v>
      </c>
      <c r="G2146" s="5">
        <v>2275032236</v>
      </c>
      <c r="H2146" s="4" t="s">
        <v>6797</v>
      </c>
      <c r="I2146" s="4" t="s">
        <v>6788</v>
      </c>
      <c r="J2146" s="4" t="s">
        <v>6798</v>
      </c>
      <c r="K2146" s="4" t="s">
        <v>6799</v>
      </c>
      <c r="L2146" s="5">
        <v>83400</v>
      </c>
    </row>
    <row r="2147" spans="1:12" x14ac:dyDescent="0.25">
      <c r="A2147" s="3" t="s">
        <v>6486</v>
      </c>
      <c r="B2147" s="4" t="s">
        <v>6715</v>
      </c>
      <c r="C2147" s="4" t="s">
        <v>14</v>
      </c>
      <c r="D2147" s="4" t="s">
        <v>15</v>
      </c>
      <c r="E2147" s="5" t="str">
        <f>"9430017"</f>
        <v>9430017</v>
      </c>
      <c r="F2147" s="3" t="s">
        <v>6800</v>
      </c>
      <c r="G2147" s="5">
        <v>2275031279</v>
      </c>
      <c r="H2147" s="4" t="s">
        <v>6801</v>
      </c>
      <c r="I2147" s="4" t="s">
        <v>6793</v>
      </c>
      <c r="J2147" s="4" t="s">
        <v>6802</v>
      </c>
      <c r="K2147" s="4" t="s">
        <v>6803</v>
      </c>
      <c r="L2147" s="5">
        <v>83302</v>
      </c>
    </row>
    <row r="2148" spans="1:12" x14ac:dyDescent="0.25">
      <c r="A2148" s="3" t="s">
        <v>6486</v>
      </c>
      <c r="B2148" s="4" t="s">
        <v>6715</v>
      </c>
      <c r="C2148" s="4" t="s">
        <v>14</v>
      </c>
      <c r="D2148" s="4" t="s">
        <v>15</v>
      </c>
      <c r="E2148" s="5" t="str">
        <f>"9430008"</f>
        <v>9430008</v>
      </c>
      <c r="F2148" s="3" t="s">
        <v>6804</v>
      </c>
      <c r="G2148" s="5">
        <v>2275023780</v>
      </c>
      <c r="H2148" s="4" t="s">
        <v>6805</v>
      </c>
      <c r="I2148" s="4" t="s">
        <v>6793</v>
      </c>
      <c r="J2148" s="4" t="s">
        <v>6806</v>
      </c>
      <c r="K2148" s="4" t="s">
        <v>6806</v>
      </c>
      <c r="L2148" s="5">
        <v>83300</v>
      </c>
    </row>
    <row r="2149" spans="1:12" x14ac:dyDescent="0.25">
      <c r="A2149" s="3" t="s">
        <v>6486</v>
      </c>
      <c r="B2149" s="4" t="s">
        <v>6715</v>
      </c>
      <c r="C2149" s="4" t="s">
        <v>25</v>
      </c>
      <c r="D2149" s="4" t="s">
        <v>26</v>
      </c>
      <c r="E2149" s="5" t="str">
        <f>"9430096"</f>
        <v>9430096</v>
      </c>
      <c r="F2149" s="3" t="s">
        <v>6807</v>
      </c>
      <c r="G2149" s="5">
        <v>2275032930</v>
      </c>
      <c r="H2149" s="4" t="s">
        <v>6808</v>
      </c>
      <c r="I2149" s="4" t="s">
        <v>6793</v>
      </c>
      <c r="J2149" s="4" t="s">
        <v>6809</v>
      </c>
      <c r="K2149" s="4" t="s">
        <v>6810</v>
      </c>
      <c r="L2149" s="5">
        <v>83302</v>
      </c>
    </row>
    <row r="2150" spans="1:12" x14ac:dyDescent="0.25">
      <c r="A2150" s="3" t="s">
        <v>6486</v>
      </c>
      <c r="B2150" s="4" t="s">
        <v>6715</v>
      </c>
      <c r="C2150" s="4" t="s">
        <v>25</v>
      </c>
      <c r="D2150" s="4" t="s">
        <v>26</v>
      </c>
      <c r="E2150" s="5" t="str">
        <f>"9430084"</f>
        <v>9430084</v>
      </c>
      <c r="F2150" s="3" t="s">
        <v>6811</v>
      </c>
      <c r="G2150" s="5">
        <v>2275022208</v>
      </c>
      <c r="H2150" s="4" t="s">
        <v>6812</v>
      </c>
      <c r="I2150" s="4" t="s">
        <v>6793</v>
      </c>
      <c r="J2150" s="4" t="s">
        <v>6813</v>
      </c>
      <c r="K2150" s="4" t="s">
        <v>6814</v>
      </c>
      <c r="L2150" s="5">
        <v>83300</v>
      </c>
    </row>
    <row r="2151" spans="1:12" x14ac:dyDescent="0.25">
      <c r="A2151" s="3" t="s">
        <v>6486</v>
      </c>
      <c r="B2151" s="4" t="s">
        <v>6715</v>
      </c>
      <c r="C2151" s="4" t="s">
        <v>14</v>
      </c>
      <c r="D2151" s="4" t="s">
        <v>15</v>
      </c>
      <c r="E2151" s="5" t="str">
        <f>"9430002"</f>
        <v>9430002</v>
      </c>
      <c r="F2151" s="3" t="s">
        <v>6815</v>
      </c>
      <c r="G2151" s="5">
        <v>2275022263</v>
      </c>
      <c r="H2151" s="4" t="s">
        <v>6816</v>
      </c>
      <c r="I2151" s="4" t="s">
        <v>6793</v>
      </c>
      <c r="J2151" s="4" t="s">
        <v>6806</v>
      </c>
      <c r="K2151" s="4" t="s">
        <v>6806</v>
      </c>
      <c r="L2151" s="5">
        <v>83300</v>
      </c>
    </row>
    <row r="2152" spans="1:12" x14ac:dyDescent="0.25">
      <c r="A2152" s="3" t="s">
        <v>6486</v>
      </c>
      <c r="B2152" s="4" t="s">
        <v>6715</v>
      </c>
      <c r="C2152" s="4" t="s">
        <v>25</v>
      </c>
      <c r="D2152" s="4" t="s">
        <v>26</v>
      </c>
      <c r="E2152" s="5" t="str">
        <f>"9430081"</f>
        <v>9430081</v>
      </c>
      <c r="F2152" s="3" t="s">
        <v>6817</v>
      </c>
      <c r="G2152" s="5">
        <v>2273027912</v>
      </c>
      <c r="H2152" s="4" t="s">
        <v>6818</v>
      </c>
      <c r="I2152" s="4" t="s">
        <v>6718</v>
      </c>
      <c r="J2152" s="4" t="s">
        <v>6819</v>
      </c>
      <c r="K2152" s="4" t="s">
        <v>6820</v>
      </c>
      <c r="L2152" s="5">
        <v>83100</v>
      </c>
    </row>
    <row r="2153" spans="1:12" x14ac:dyDescent="0.25">
      <c r="A2153" s="3" t="s">
        <v>6486</v>
      </c>
      <c r="B2153" s="4" t="s">
        <v>6715</v>
      </c>
      <c r="C2153" s="4" t="s">
        <v>14</v>
      </c>
      <c r="D2153" s="4" t="s">
        <v>15</v>
      </c>
      <c r="E2153" s="5" t="str">
        <f>"9430079"</f>
        <v>9430079</v>
      </c>
      <c r="F2153" s="3" t="s">
        <v>6821</v>
      </c>
      <c r="G2153" s="5">
        <v>2273091775</v>
      </c>
      <c r="H2153" s="4" t="s">
        <v>6822</v>
      </c>
      <c r="I2153" s="4" t="s">
        <v>6718</v>
      </c>
      <c r="J2153" s="4" t="s">
        <v>6729</v>
      </c>
      <c r="K2153" s="4" t="s">
        <v>6729</v>
      </c>
      <c r="L2153" s="5">
        <v>83103</v>
      </c>
    </row>
    <row r="2154" spans="1:12" x14ac:dyDescent="0.25">
      <c r="A2154" s="3" t="s">
        <v>6486</v>
      </c>
      <c r="B2154" s="4" t="s">
        <v>6715</v>
      </c>
      <c r="C2154" s="4" t="s">
        <v>25</v>
      </c>
      <c r="D2154" s="4" t="s">
        <v>26</v>
      </c>
      <c r="E2154" s="5" t="str">
        <f>"9521471"</f>
        <v>9521471</v>
      </c>
      <c r="F2154" s="3" t="s">
        <v>6823</v>
      </c>
      <c r="G2154" s="5">
        <v>2275023298</v>
      </c>
      <c r="H2154" s="4" t="s">
        <v>6824</v>
      </c>
      <c r="I2154" s="4" t="s">
        <v>6793</v>
      </c>
      <c r="J2154" s="4" t="s">
        <v>6813</v>
      </c>
      <c r="K2154" s="4" t="s">
        <v>6806</v>
      </c>
      <c r="L2154" s="5">
        <v>83300</v>
      </c>
    </row>
    <row r="2155" spans="1:12" x14ac:dyDescent="0.25">
      <c r="A2155" s="3" t="s">
        <v>6486</v>
      </c>
      <c r="B2155" s="4" t="s">
        <v>6825</v>
      </c>
      <c r="C2155" s="4" t="s">
        <v>14</v>
      </c>
      <c r="D2155" s="4" t="s">
        <v>179</v>
      </c>
      <c r="E2155" s="5" t="str">
        <f>"9510061"</f>
        <v>9510061</v>
      </c>
      <c r="F2155" s="3" t="s">
        <v>6826</v>
      </c>
      <c r="G2155" s="5">
        <v>2271055393</v>
      </c>
      <c r="H2155" s="4" t="s">
        <v>6827</v>
      </c>
      <c r="I2155" s="4" t="s">
        <v>6828</v>
      </c>
      <c r="J2155" s="4" t="s">
        <v>6829</v>
      </c>
      <c r="K2155" s="4" t="s">
        <v>6829</v>
      </c>
      <c r="L2155" s="5">
        <v>82101</v>
      </c>
    </row>
    <row r="2156" spans="1:12" ht="30" x14ac:dyDescent="0.25">
      <c r="A2156" s="3" t="s">
        <v>6486</v>
      </c>
      <c r="B2156" s="4" t="s">
        <v>6825</v>
      </c>
      <c r="C2156" s="4" t="s">
        <v>14</v>
      </c>
      <c r="D2156" s="4" t="s">
        <v>15</v>
      </c>
      <c r="E2156" s="5" t="str">
        <f>"9510073"</f>
        <v>9510073</v>
      </c>
      <c r="F2156" s="3" t="s">
        <v>6830</v>
      </c>
      <c r="G2156" s="5">
        <v>2271078300</v>
      </c>
      <c r="H2156" s="4" t="s">
        <v>6831</v>
      </c>
      <c r="I2156" s="4" t="s">
        <v>6832</v>
      </c>
      <c r="J2156" s="4" t="s">
        <v>6833</v>
      </c>
      <c r="K2156" s="4" t="s">
        <v>6834</v>
      </c>
      <c r="L2156" s="5">
        <v>82150</v>
      </c>
    </row>
    <row r="2157" spans="1:12" x14ac:dyDescent="0.25">
      <c r="A2157" s="3" t="s">
        <v>6486</v>
      </c>
      <c r="B2157" s="4" t="s">
        <v>6825</v>
      </c>
      <c r="C2157" s="4" t="s">
        <v>25</v>
      </c>
      <c r="D2157" s="4" t="s">
        <v>26</v>
      </c>
      <c r="E2157" s="5" t="str">
        <f>"9510022"</f>
        <v>9510022</v>
      </c>
      <c r="F2157" s="3" t="s">
        <v>6835</v>
      </c>
      <c r="G2157" s="5">
        <v>2271022208</v>
      </c>
      <c r="H2157" s="4" t="s">
        <v>6836</v>
      </c>
      <c r="I2157" s="4" t="s">
        <v>6832</v>
      </c>
      <c r="J2157" s="4" t="s">
        <v>6837</v>
      </c>
      <c r="K2157" s="4" t="s">
        <v>6838</v>
      </c>
      <c r="L2157" s="5">
        <v>82100</v>
      </c>
    </row>
    <row r="2158" spans="1:12" x14ac:dyDescent="0.25">
      <c r="A2158" s="3" t="s">
        <v>6486</v>
      </c>
      <c r="B2158" s="4" t="s">
        <v>6825</v>
      </c>
      <c r="C2158" s="4" t="s">
        <v>25</v>
      </c>
      <c r="D2158" s="4" t="s">
        <v>26</v>
      </c>
      <c r="E2158" s="5" t="str">
        <f>"9510107"</f>
        <v>9510107</v>
      </c>
      <c r="F2158" s="3" t="s">
        <v>6839</v>
      </c>
      <c r="G2158" s="5">
        <v>2271022577</v>
      </c>
      <c r="H2158" s="4" t="s">
        <v>6840</v>
      </c>
      <c r="I2158" s="4" t="s">
        <v>6832</v>
      </c>
      <c r="J2158" s="4" t="s">
        <v>6832</v>
      </c>
      <c r="K2158" s="4" t="s">
        <v>6841</v>
      </c>
      <c r="L2158" s="5">
        <v>82100</v>
      </c>
    </row>
    <row r="2159" spans="1:12" ht="30" x14ac:dyDescent="0.25">
      <c r="A2159" s="3" t="s">
        <v>6486</v>
      </c>
      <c r="B2159" s="4" t="s">
        <v>6825</v>
      </c>
      <c r="C2159" s="4" t="s">
        <v>25</v>
      </c>
      <c r="D2159" s="4" t="s">
        <v>26</v>
      </c>
      <c r="E2159" s="5" t="str">
        <f>"9510093"</f>
        <v>9510093</v>
      </c>
      <c r="F2159" s="3" t="s">
        <v>6842</v>
      </c>
      <c r="G2159" s="5">
        <v>2271078101</v>
      </c>
      <c r="H2159" s="4" t="s">
        <v>6843</v>
      </c>
      <c r="I2159" s="4" t="s">
        <v>6832</v>
      </c>
      <c r="J2159" s="4" t="s">
        <v>6844</v>
      </c>
      <c r="K2159" s="4" t="s">
        <v>6845</v>
      </c>
      <c r="L2159" s="5">
        <v>82100</v>
      </c>
    </row>
    <row r="2160" spans="1:12" x14ac:dyDescent="0.25">
      <c r="A2160" s="3" t="s">
        <v>6486</v>
      </c>
      <c r="B2160" s="4" t="s">
        <v>6825</v>
      </c>
      <c r="C2160" s="4" t="s">
        <v>14</v>
      </c>
      <c r="D2160" s="4" t="s">
        <v>15</v>
      </c>
      <c r="E2160" s="5" t="str">
        <f>"9510068"</f>
        <v>9510068</v>
      </c>
      <c r="F2160" s="3" t="s">
        <v>6846</v>
      </c>
      <c r="G2160" s="5">
        <v>2271072261</v>
      </c>
      <c r="H2160" s="4" t="s">
        <v>6847</v>
      </c>
      <c r="I2160" s="4" t="s">
        <v>6832</v>
      </c>
      <c r="J2160" s="4" t="s">
        <v>6848</v>
      </c>
      <c r="K2160" s="4" t="s">
        <v>6848</v>
      </c>
      <c r="L2160" s="5">
        <v>82102</v>
      </c>
    </row>
    <row r="2161" spans="1:12" x14ac:dyDescent="0.25">
      <c r="A2161" s="3" t="s">
        <v>6486</v>
      </c>
      <c r="B2161" s="4" t="s">
        <v>6825</v>
      </c>
      <c r="C2161" s="4" t="s">
        <v>25</v>
      </c>
      <c r="D2161" s="4" t="s">
        <v>26</v>
      </c>
      <c r="E2161" s="5" t="str">
        <f>"9510108"</f>
        <v>9510108</v>
      </c>
      <c r="F2161" s="3" t="s">
        <v>6849</v>
      </c>
      <c r="G2161" s="5">
        <v>2271028740</v>
      </c>
      <c r="H2161" s="4" t="s">
        <v>6850</v>
      </c>
      <c r="I2161" s="4" t="s">
        <v>6832</v>
      </c>
      <c r="J2161" s="4" t="s">
        <v>6832</v>
      </c>
      <c r="K2161" s="4" t="s">
        <v>6851</v>
      </c>
      <c r="L2161" s="5">
        <v>82100</v>
      </c>
    </row>
    <row r="2162" spans="1:12" x14ac:dyDescent="0.25">
      <c r="A2162" s="3" t="s">
        <v>6486</v>
      </c>
      <c r="B2162" s="4" t="s">
        <v>6825</v>
      </c>
      <c r="C2162" s="4" t="s">
        <v>25</v>
      </c>
      <c r="D2162" s="4" t="s">
        <v>26</v>
      </c>
      <c r="E2162" s="5" t="str">
        <f>"9510078"</f>
        <v>9510078</v>
      </c>
      <c r="F2162" s="3" t="s">
        <v>6852</v>
      </c>
      <c r="G2162" s="5">
        <v>2271023533</v>
      </c>
      <c r="H2162" s="4" t="s">
        <v>6853</v>
      </c>
      <c r="I2162" s="4" t="s">
        <v>6832</v>
      </c>
      <c r="J2162" s="4" t="s">
        <v>6832</v>
      </c>
      <c r="K2162" s="4" t="s">
        <v>6854</v>
      </c>
      <c r="L2162" s="5">
        <v>82100</v>
      </c>
    </row>
    <row r="2163" spans="1:12" x14ac:dyDescent="0.25">
      <c r="A2163" s="3" t="s">
        <v>6486</v>
      </c>
      <c r="B2163" s="4" t="s">
        <v>6825</v>
      </c>
      <c r="C2163" s="4" t="s">
        <v>14</v>
      </c>
      <c r="D2163" s="4" t="s">
        <v>15</v>
      </c>
      <c r="E2163" s="5" t="str">
        <f>"9510014"</f>
        <v>9510014</v>
      </c>
      <c r="F2163" s="3" t="s">
        <v>6855</v>
      </c>
      <c r="G2163" s="5">
        <v>2271022561</v>
      </c>
      <c r="H2163" s="4" t="s">
        <v>6856</v>
      </c>
      <c r="I2163" s="4" t="s">
        <v>6832</v>
      </c>
      <c r="J2163" s="4" t="s">
        <v>6857</v>
      </c>
      <c r="K2163" s="4" t="s">
        <v>6858</v>
      </c>
      <c r="L2163" s="5">
        <v>82100</v>
      </c>
    </row>
    <row r="2164" spans="1:12" x14ac:dyDescent="0.25">
      <c r="A2164" s="3" t="s">
        <v>6486</v>
      </c>
      <c r="B2164" s="4" t="s">
        <v>6825</v>
      </c>
      <c r="C2164" s="4" t="s">
        <v>14</v>
      </c>
      <c r="D2164" s="4" t="s">
        <v>179</v>
      </c>
      <c r="E2164" s="5" t="str">
        <f>"9510042"</f>
        <v>9510042</v>
      </c>
      <c r="F2164" s="3" t="s">
        <v>6859</v>
      </c>
      <c r="G2164" s="5">
        <v>2271051201</v>
      </c>
      <c r="H2164" s="4" t="s">
        <v>6860</v>
      </c>
      <c r="I2164" s="4" t="s">
        <v>6832</v>
      </c>
      <c r="J2164" s="4" t="s">
        <v>6861</v>
      </c>
      <c r="K2164" s="4" t="s">
        <v>6861</v>
      </c>
      <c r="L2164" s="5">
        <v>82100</v>
      </c>
    </row>
    <row r="2165" spans="1:12" x14ac:dyDescent="0.25">
      <c r="A2165" s="3" t="s">
        <v>6486</v>
      </c>
      <c r="B2165" s="4" t="s">
        <v>6825</v>
      </c>
      <c r="C2165" s="4" t="s">
        <v>14</v>
      </c>
      <c r="D2165" s="4" t="s">
        <v>15</v>
      </c>
      <c r="E2165" s="5" t="str">
        <f>"9510059"</f>
        <v>9510059</v>
      </c>
      <c r="F2165" s="3" t="s">
        <v>6862</v>
      </c>
      <c r="G2165" s="5">
        <v>2271061532</v>
      </c>
      <c r="H2165" s="4" t="s">
        <v>6863</v>
      </c>
      <c r="I2165" s="4" t="s">
        <v>6832</v>
      </c>
      <c r="J2165" s="4" t="s">
        <v>6864</v>
      </c>
      <c r="K2165" s="4" t="s">
        <v>6865</v>
      </c>
      <c r="L2165" s="5">
        <v>82102</v>
      </c>
    </row>
    <row r="2166" spans="1:12" x14ac:dyDescent="0.25">
      <c r="A2166" s="3" t="s">
        <v>6486</v>
      </c>
      <c r="B2166" s="4" t="s">
        <v>6825</v>
      </c>
      <c r="C2166" s="4" t="s">
        <v>14</v>
      </c>
      <c r="D2166" s="4" t="s">
        <v>15</v>
      </c>
      <c r="E2166" s="5" t="str">
        <f>"9510045"</f>
        <v>9510045</v>
      </c>
      <c r="F2166" s="3" t="s">
        <v>6866</v>
      </c>
      <c r="G2166" s="5">
        <v>2271051207</v>
      </c>
      <c r="H2166" s="4" t="s">
        <v>6867</v>
      </c>
      <c r="I2166" s="4" t="s">
        <v>6832</v>
      </c>
      <c r="J2166" s="4" t="s">
        <v>6868</v>
      </c>
      <c r="K2166" s="4" t="s">
        <v>6868</v>
      </c>
      <c r="L2166" s="5">
        <v>82100</v>
      </c>
    </row>
    <row r="2167" spans="1:12" x14ac:dyDescent="0.25">
      <c r="A2167" s="3" t="s">
        <v>6486</v>
      </c>
      <c r="B2167" s="4" t="s">
        <v>6825</v>
      </c>
      <c r="C2167" s="4" t="s">
        <v>14</v>
      </c>
      <c r="D2167" s="4" t="s">
        <v>179</v>
      </c>
      <c r="E2167" s="5" t="str">
        <f>"9510038"</f>
        <v>9510038</v>
      </c>
      <c r="F2167" s="3" t="s">
        <v>6869</v>
      </c>
      <c r="G2167" s="5">
        <v>2274021206</v>
      </c>
      <c r="H2167" s="4" t="s">
        <v>6870</v>
      </c>
      <c r="I2167" s="4" t="s">
        <v>6832</v>
      </c>
      <c r="J2167" s="4" t="s">
        <v>6871</v>
      </c>
      <c r="K2167" s="4" t="s">
        <v>6872</v>
      </c>
      <c r="L2167" s="5">
        <v>82103</v>
      </c>
    </row>
    <row r="2168" spans="1:12" x14ac:dyDescent="0.25">
      <c r="A2168" s="3" t="s">
        <v>6486</v>
      </c>
      <c r="B2168" s="4" t="s">
        <v>6825</v>
      </c>
      <c r="C2168" s="4" t="s">
        <v>14</v>
      </c>
      <c r="D2168" s="4" t="s">
        <v>15</v>
      </c>
      <c r="E2168" s="5" t="str">
        <f>"9510019"</f>
        <v>9510019</v>
      </c>
      <c r="F2168" s="3" t="s">
        <v>6873</v>
      </c>
      <c r="G2168" s="5">
        <v>2271022387</v>
      </c>
      <c r="H2168" s="4" t="s">
        <v>6874</v>
      </c>
      <c r="I2168" s="4" t="s">
        <v>6832</v>
      </c>
      <c r="J2168" s="4" t="s">
        <v>6871</v>
      </c>
      <c r="K2168" s="4" t="s">
        <v>6875</v>
      </c>
      <c r="L2168" s="5">
        <v>82131</v>
      </c>
    </row>
    <row r="2169" spans="1:12" x14ac:dyDescent="0.25">
      <c r="A2169" s="3" t="s">
        <v>6486</v>
      </c>
      <c r="B2169" s="4" t="s">
        <v>6825</v>
      </c>
      <c r="C2169" s="4" t="s">
        <v>25</v>
      </c>
      <c r="D2169" s="4" t="s">
        <v>26</v>
      </c>
      <c r="E2169" s="5" t="str">
        <f>"9510008"</f>
        <v>9510008</v>
      </c>
      <c r="F2169" s="3" t="s">
        <v>6876</v>
      </c>
      <c r="G2169" s="5">
        <v>2272022342</v>
      </c>
      <c r="H2169" s="4" t="s">
        <v>6877</v>
      </c>
      <c r="I2169" s="4" t="s">
        <v>6832</v>
      </c>
      <c r="J2169" s="4" t="s">
        <v>6878</v>
      </c>
      <c r="K2169" s="4" t="s">
        <v>6879</v>
      </c>
      <c r="L2169" s="5">
        <v>82300</v>
      </c>
    </row>
    <row r="2170" spans="1:12" x14ac:dyDescent="0.25">
      <c r="A2170" s="3" t="s">
        <v>6486</v>
      </c>
      <c r="B2170" s="4" t="s">
        <v>6825</v>
      </c>
      <c r="C2170" s="4" t="s">
        <v>25</v>
      </c>
      <c r="D2170" s="4" t="s">
        <v>26</v>
      </c>
      <c r="E2170" s="5" t="str">
        <f>"9510096"</f>
        <v>9510096</v>
      </c>
      <c r="F2170" s="3" t="s">
        <v>6880</v>
      </c>
      <c r="G2170" s="5">
        <v>2271350703</v>
      </c>
      <c r="H2170" s="4" t="s">
        <v>6881</v>
      </c>
      <c r="I2170" s="4" t="s">
        <v>6832</v>
      </c>
      <c r="J2170" s="4" t="s">
        <v>6882</v>
      </c>
      <c r="K2170" s="4" t="s">
        <v>6883</v>
      </c>
      <c r="L2170" s="5">
        <v>82100</v>
      </c>
    </row>
    <row r="2171" spans="1:12" x14ac:dyDescent="0.25">
      <c r="A2171" s="3" t="s">
        <v>6486</v>
      </c>
      <c r="B2171" s="4" t="s">
        <v>6825</v>
      </c>
      <c r="C2171" s="4" t="s">
        <v>25</v>
      </c>
      <c r="D2171" s="4" t="s">
        <v>26</v>
      </c>
      <c r="E2171" s="5" t="str">
        <f>"9510018"</f>
        <v>9510018</v>
      </c>
      <c r="F2171" s="3" t="s">
        <v>6884</v>
      </c>
      <c r="G2171" s="5">
        <v>2271020333</v>
      </c>
      <c r="H2171" s="4" t="s">
        <v>6885</v>
      </c>
      <c r="I2171" s="4" t="s">
        <v>6832</v>
      </c>
      <c r="J2171" s="4" t="s">
        <v>6832</v>
      </c>
      <c r="K2171" s="4" t="s">
        <v>6886</v>
      </c>
      <c r="L2171" s="5">
        <v>82100</v>
      </c>
    </row>
    <row r="2172" spans="1:12" x14ac:dyDescent="0.25">
      <c r="A2172" s="3" t="s">
        <v>6486</v>
      </c>
      <c r="B2172" s="4" t="s">
        <v>6825</v>
      </c>
      <c r="C2172" s="4" t="s">
        <v>25</v>
      </c>
      <c r="D2172" s="4" t="s">
        <v>26</v>
      </c>
      <c r="E2172" s="5" t="str">
        <f>"9510006"</f>
        <v>9510006</v>
      </c>
      <c r="F2172" s="3" t="s">
        <v>6887</v>
      </c>
      <c r="G2172" s="5">
        <v>2271093427</v>
      </c>
      <c r="H2172" s="4" t="s">
        <v>6888</v>
      </c>
      <c r="I2172" s="4" t="s">
        <v>6832</v>
      </c>
      <c r="J2172" s="4" t="s">
        <v>6889</v>
      </c>
      <c r="K2172" s="4" t="s">
        <v>6890</v>
      </c>
      <c r="L2172" s="5">
        <v>82200</v>
      </c>
    </row>
    <row r="2173" spans="1:12" x14ac:dyDescent="0.25">
      <c r="A2173" s="3" t="s">
        <v>6486</v>
      </c>
      <c r="B2173" s="4" t="s">
        <v>6825</v>
      </c>
      <c r="C2173" s="4" t="s">
        <v>25</v>
      </c>
      <c r="D2173" s="4" t="s">
        <v>26</v>
      </c>
      <c r="E2173" s="5" t="str">
        <f>"9510077"</f>
        <v>9510077</v>
      </c>
      <c r="F2173" s="3" t="s">
        <v>6891</v>
      </c>
      <c r="G2173" s="5">
        <v>2271020666</v>
      </c>
      <c r="H2173" s="4" t="s">
        <v>6892</v>
      </c>
      <c r="I2173" s="4" t="s">
        <v>6832</v>
      </c>
      <c r="J2173" s="4" t="s">
        <v>6832</v>
      </c>
      <c r="K2173" s="4" t="s">
        <v>6886</v>
      </c>
      <c r="L2173" s="5">
        <v>82132</v>
      </c>
    </row>
    <row r="2174" spans="1:12" x14ac:dyDescent="0.25">
      <c r="A2174" s="3" t="s">
        <v>6486</v>
      </c>
      <c r="B2174" s="4" t="s">
        <v>6825</v>
      </c>
      <c r="C2174" s="4" t="s">
        <v>25</v>
      </c>
      <c r="D2174" s="4" t="s">
        <v>26</v>
      </c>
      <c r="E2174" s="5" t="str">
        <f>"9510089"</f>
        <v>9510089</v>
      </c>
      <c r="F2174" s="3" t="s">
        <v>6893</v>
      </c>
      <c r="G2174" s="5">
        <v>2271020568</v>
      </c>
      <c r="H2174" s="4" t="s">
        <v>6894</v>
      </c>
      <c r="I2174" s="4" t="s">
        <v>6832</v>
      </c>
      <c r="J2174" s="4" t="s">
        <v>6832</v>
      </c>
      <c r="K2174" s="4" t="s">
        <v>6895</v>
      </c>
      <c r="L2174" s="5">
        <v>82100</v>
      </c>
    </row>
    <row r="2175" spans="1:12" x14ac:dyDescent="0.25">
      <c r="A2175" s="3" t="s">
        <v>6486</v>
      </c>
      <c r="B2175" s="4" t="s">
        <v>6825</v>
      </c>
      <c r="C2175" s="4" t="s">
        <v>14</v>
      </c>
      <c r="D2175" s="4" t="s">
        <v>15</v>
      </c>
      <c r="E2175" s="5" t="str">
        <f>"9510009"</f>
        <v>9510009</v>
      </c>
      <c r="F2175" s="3" t="s">
        <v>6896</v>
      </c>
      <c r="G2175" s="5">
        <v>2272022267</v>
      </c>
      <c r="H2175" s="4" t="s">
        <v>6897</v>
      </c>
      <c r="I2175" s="4" t="s">
        <v>6832</v>
      </c>
      <c r="J2175" s="4" t="s">
        <v>6879</v>
      </c>
      <c r="K2175" s="4" t="s">
        <v>6898</v>
      </c>
      <c r="L2175" s="5">
        <v>82300</v>
      </c>
    </row>
    <row r="2176" spans="1:12" x14ac:dyDescent="0.25">
      <c r="A2176" s="3" t="s">
        <v>6486</v>
      </c>
      <c r="B2176" s="4" t="s">
        <v>6825</v>
      </c>
      <c r="C2176" s="4" t="s">
        <v>14</v>
      </c>
      <c r="D2176" s="4" t="s">
        <v>15</v>
      </c>
      <c r="E2176" s="5" t="str">
        <f>"9510013"</f>
        <v>9510013</v>
      </c>
      <c r="F2176" s="3" t="s">
        <v>6899</v>
      </c>
      <c r="G2176" s="5">
        <v>2271031541</v>
      </c>
      <c r="H2176" s="4" t="s">
        <v>6900</v>
      </c>
      <c r="I2176" s="4" t="s">
        <v>6832</v>
      </c>
      <c r="J2176" s="4" t="s">
        <v>6901</v>
      </c>
      <c r="K2176" s="4" t="s">
        <v>6902</v>
      </c>
      <c r="L2176" s="5">
        <v>82100</v>
      </c>
    </row>
    <row r="2177" spans="1:12" x14ac:dyDescent="0.25">
      <c r="A2177" s="3" t="s">
        <v>6486</v>
      </c>
      <c r="B2177" s="4" t="s">
        <v>6825</v>
      </c>
      <c r="C2177" s="4" t="s">
        <v>14</v>
      </c>
      <c r="D2177" s="4" t="s">
        <v>179</v>
      </c>
      <c r="E2177" s="5" t="str">
        <f>"9510074"</f>
        <v>9510074</v>
      </c>
      <c r="F2177" s="3" t="s">
        <v>6903</v>
      </c>
      <c r="G2177" s="5">
        <v>2274061221</v>
      </c>
      <c r="H2177" s="4" t="s">
        <v>6904</v>
      </c>
      <c r="I2177" s="4" t="s">
        <v>6905</v>
      </c>
      <c r="J2177" s="4" t="s">
        <v>6906</v>
      </c>
      <c r="K2177" s="4" t="s">
        <v>6907</v>
      </c>
      <c r="L2177" s="5">
        <v>82104</v>
      </c>
    </row>
    <row r="2178" spans="1:12" x14ac:dyDescent="0.25">
      <c r="A2178" s="3" t="s">
        <v>6486</v>
      </c>
      <c r="B2178" s="4" t="s">
        <v>6825</v>
      </c>
      <c r="C2178" s="4" t="s">
        <v>25</v>
      </c>
      <c r="D2178" s="4" t="s">
        <v>821</v>
      </c>
      <c r="E2178" s="5" t="str">
        <f>"9510020"</f>
        <v>9510020</v>
      </c>
      <c r="F2178" s="3" t="s">
        <v>6908</v>
      </c>
      <c r="G2178" s="5">
        <v>2271020525</v>
      </c>
      <c r="H2178" s="4" t="s">
        <v>6909</v>
      </c>
      <c r="I2178" s="4" t="s">
        <v>6832</v>
      </c>
      <c r="J2178" s="4" t="s">
        <v>6832</v>
      </c>
      <c r="K2178" s="4" t="s">
        <v>6895</v>
      </c>
      <c r="L2178" s="5">
        <v>82100</v>
      </c>
    </row>
    <row r="2179" spans="1:12" x14ac:dyDescent="0.25">
      <c r="A2179" s="3" t="s">
        <v>6486</v>
      </c>
      <c r="B2179" s="4" t="s">
        <v>6825</v>
      </c>
      <c r="C2179" s="4" t="s">
        <v>14</v>
      </c>
      <c r="D2179" s="4" t="s">
        <v>15</v>
      </c>
      <c r="E2179" s="5" t="str">
        <f>"9510028"</f>
        <v>9510028</v>
      </c>
      <c r="F2179" s="3" t="s">
        <v>6910</v>
      </c>
      <c r="G2179" s="5">
        <v>2271023103</v>
      </c>
      <c r="H2179" s="4" t="s">
        <v>6911</v>
      </c>
      <c r="I2179" s="4" t="s">
        <v>6832</v>
      </c>
      <c r="J2179" s="4" t="s">
        <v>6871</v>
      </c>
      <c r="K2179" s="4" t="s">
        <v>6912</v>
      </c>
      <c r="L2179" s="5">
        <v>82100</v>
      </c>
    </row>
    <row r="2180" spans="1:12" x14ac:dyDescent="0.25">
      <c r="A2180" s="3" t="s">
        <v>6486</v>
      </c>
      <c r="B2180" s="4" t="s">
        <v>6825</v>
      </c>
      <c r="C2180" s="4" t="s">
        <v>14</v>
      </c>
      <c r="D2180" s="4" t="s">
        <v>15</v>
      </c>
      <c r="E2180" s="5" t="str">
        <f>"9510025"</f>
        <v>9510025</v>
      </c>
      <c r="F2180" s="3" t="s">
        <v>6913</v>
      </c>
      <c r="G2180" s="5">
        <v>2271350700</v>
      </c>
      <c r="H2180" s="4" t="s">
        <v>6914</v>
      </c>
      <c r="I2180" s="4" t="s">
        <v>6832</v>
      </c>
      <c r="J2180" s="4" t="s">
        <v>6871</v>
      </c>
      <c r="K2180" s="4" t="s">
        <v>6915</v>
      </c>
      <c r="L2180" s="5">
        <v>82132</v>
      </c>
    </row>
    <row r="2181" spans="1:12" x14ac:dyDescent="0.25">
      <c r="A2181" s="3" t="s">
        <v>6486</v>
      </c>
      <c r="B2181" s="4" t="s">
        <v>6825</v>
      </c>
      <c r="C2181" s="4" t="s">
        <v>14</v>
      </c>
      <c r="D2181" s="4" t="s">
        <v>15</v>
      </c>
      <c r="E2181" s="5" t="str">
        <f>"9510016"</f>
        <v>9510016</v>
      </c>
      <c r="F2181" s="3" t="s">
        <v>6916</v>
      </c>
      <c r="G2181" s="5">
        <v>2271022408</v>
      </c>
      <c r="H2181" s="4" t="s">
        <v>6917</v>
      </c>
      <c r="I2181" s="4" t="s">
        <v>6832</v>
      </c>
      <c r="J2181" s="4" t="s">
        <v>6871</v>
      </c>
      <c r="K2181" s="4" t="s">
        <v>6918</v>
      </c>
      <c r="L2181" s="5">
        <v>82132</v>
      </c>
    </row>
    <row r="2182" spans="1:12" x14ac:dyDescent="0.25">
      <c r="A2182" s="3" t="s">
        <v>6486</v>
      </c>
      <c r="B2182" s="4" t="s">
        <v>6825</v>
      </c>
      <c r="C2182" s="4" t="s">
        <v>14</v>
      </c>
      <c r="D2182" s="4" t="s">
        <v>15</v>
      </c>
      <c r="E2182" s="5" t="str">
        <f>"9510005"</f>
        <v>9510005</v>
      </c>
      <c r="F2182" s="3" t="s">
        <v>6919</v>
      </c>
      <c r="G2182" s="5">
        <v>2271092380</v>
      </c>
      <c r="H2182" s="4" t="s">
        <v>6920</v>
      </c>
      <c r="I2182" s="4" t="s">
        <v>6832</v>
      </c>
      <c r="J2182" s="4" t="s">
        <v>6921</v>
      </c>
      <c r="K2182" s="4" t="s">
        <v>6890</v>
      </c>
      <c r="L2182" s="5">
        <v>82200</v>
      </c>
    </row>
    <row r="2183" spans="1:12" ht="30" x14ac:dyDescent="0.25">
      <c r="A2183" s="3" t="s">
        <v>6486</v>
      </c>
      <c r="B2183" s="4" t="s">
        <v>6825</v>
      </c>
      <c r="C2183" s="4" t="s">
        <v>25</v>
      </c>
      <c r="D2183" s="4" t="s">
        <v>26</v>
      </c>
      <c r="E2183" s="5" t="str">
        <f>"9510067"</f>
        <v>9510067</v>
      </c>
      <c r="F2183" s="3" t="s">
        <v>6922</v>
      </c>
      <c r="G2183" s="5">
        <v>2271072640</v>
      </c>
      <c r="H2183" s="4" t="s">
        <v>6923</v>
      </c>
      <c r="I2183" s="4" t="s">
        <v>6832</v>
      </c>
      <c r="J2183" s="4" t="s">
        <v>6924</v>
      </c>
      <c r="K2183" s="4" t="s">
        <v>6848</v>
      </c>
      <c r="L2183" s="5">
        <v>82102</v>
      </c>
    </row>
    <row r="2184" spans="1:12" ht="30" x14ac:dyDescent="0.25">
      <c r="A2184" s="3" t="s">
        <v>6486</v>
      </c>
      <c r="B2184" s="4" t="s">
        <v>6825</v>
      </c>
      <c r="C2184" s="4" t="s">
        <v>25</v>
      </c>
      <c r="D2184" s="4" t="s">
        <v>26</v>
      </c>
      <c r="E2184" s="5" t="str">
        <f>"9510081"</f>
        <v>9510081</v>
      </c>
      <c r="F2184" s="3" t="s">
        <v>6925</v>
      </c>
      <c r="G2184" s="5">
        <v>2271031412</v>
      </c>
      <c r="H2184" s="4" t="s">
        <v>6926</v>
      </c>
      <c r="I2184" s="4" t="s">
        <v>6832</v>
      </c>
      <c r="J2184" s="4" t="s">
        <v>6927</v>
      </c>
      <c r="K2184" s="4" t="s">
        <v>6928</v>
      </c>
      <c r="L2184" s="5">
        <v>82100</v>
      </c>
    </row>
    <row r="2185" spans="1:12" x14ac:dyDescent="0.25">
      <c r="A2185" s="3" t="s">
        <v>6486</v>
      </c>
      <c r="B2185" s="4" t="s">
        <v>6825</v>
      </c>
      <c r="C2185" s="4" t="s">
        <v>25</v>
      </c>
      <c r="D2185" s="4" t="s">
        <v>26</v>
      </c>
      <c r="E2185" s="5" t="str">
        <f>"9510002"</f>
        <v>9510002</v>
      </c>
      <c r="F2185" s="3" t="s">
        <v>6929</v>
      </c>
      <c r="G2185" s="5">
        <v>2271093919</v>
      </c>
      <c r="H2185" s="4" t="s">
        <v>6930</v>
      </c>
      <c r="I2185" s="4" t="s">
        <v>6832</v>
      </c>
      <c r="J2185" s="4" t="s">
        <v>6889</v>
      </c>
      <c r="K2185" s="4" t="s">
        <v>6931</v>
      </c>
      <c r="L2185" s="5">
        <v>82200</v>
      </c>
    </row>
    <row r="2186" spans="1:12" x14ac:dyDescent="0.25">
      <c r="A2186" s="3" t="s">
        <v>6486</v>
      </c>
      <c r="B2186" s="4" t="s">
        <v>6825</v>
      </c>
      <c r="C2186" s="4" t="s">
        <v>14</v>
      </c>
      <c r="D2186" s="4" t="s">
        <v>15</v>
      </c>
      <c r="E2186" s="5" t="str">
        <f>"9510026"</f>
        <v>9510026</v>
      </c>
      <c r="F2186" s="3" t="s">
        <v>6932</v>
      </c>
      <c r="G2186" s="5">
        <v>2271022410</v>
      </c>
      <c r="H2186" s="4" t="s">
        <v>6933</v>
      </c>
      <c r="I2186" s="4" t="s">
        <v>6832</v>
      </c>
      <c r="J2186" s="4" t="s">
        <v>6934</v>
      </c>
      <c r="K2186" s="4" t="s">
        <v>6935</v>
      </c>
      <c r="L2186" s="5">
        <v>82131</v>
      </c>
    </row>
    <row r="2187" spans="1:12" x14ac:dyDescent="0.25">
      <c r="A2187" s="3" t="s">
        <v>6486</v>
      </c>
      <c r="B2187" s="4" t="s">
        <v>6825</v>
      </c>
      <c r="C2187" s="4" t="s">
        <v>14</v>
      </c>
      <c r="D2187" s="4" t="s">
        <v>15</v>
      </c>
      <c r="E2187" s="5" t="str">
        <f>"9510023"</f>
        <v>9510023</v>
      </c>
      <c r="F2187" s="3" t="s">
        <v>6936</v>
      </c>
      <c r="G2187" s="5">
        <v>2271022418</v>
      </c>
      <c r="H2187" s="4" t="s">
        <v>6937</v>
      </c>
      <c r="I2187" s="4" t="s">
        <v>6832</v>
      </c>
      <c r="J2187" s="4" t="s">
        <v>6938</v>
      </c>
      <c r="K2187" s="4" t="s">
        <v>6939</v>
      </c>
      <c r="L2187" s="5">
        <v>82100</v>
      </c>
    </row>
    <row r="2188" spans="1:12" x14ac:dyDescent="0.25">
      <c r="A2188" s="3" t="s">
        <v>6486</v>
      </c>
      <c r="B2188" s="4" t="s">
        <v>6825</v>
      </c>
      <c r="C2188" s="4" t="s">
        <v>14</v>
      </c>
      <c r="D2188" s="4" t="s">
        <v>830</v>
      </c>
      <c r="E2188" s="5" t="str">
        <f>"9510017"</f>
        <v>9510017</v>
      </c>
      <c r="F2188" s="3" t="s">
        <v>6940</v>
      </c>
      <c r="G2188" s="5">
        <v>2271022411</v>
      </c>
      <c r="H2188" s="4" t="s">
        <v>6941</v>
      </c>
      <c r="I2188" s="4" t="s">
        <v>6832</v>
      </c>
      <c r="J2188" s="4" t="s">
        <v>6871</v>
      </c>
      <c r="K2188" s="4" t="s">
        <v>6942</v>
      </c>
      <c r="L2188" s="5">
        <v>82132</v>
      </c>
    </row>
    <row r="2189" spans="1:12" x14ac:dyDescent="0.25">
      <c r="A2189" s="3" t="s">
        <v>6486</v>
      </c>
      <c r="B2189" s="4" t="s">
        <v>6825</v>
      </c>
      <c r="C2189" s="4" t="s">
        <v>14</v>
      </c>
      <c r="D2189" s="4" t="s">
        <v>15</v>
      </c>
      <c r="E2189" s="5" t="str">
        <f>"9510027"</f>
        <v>9510027</v>
      </c>
      <c r="F2189" s="3" t="s">
        <v>6943</v>
      </c>
      <c r="G2189" s="5">
        <v>2271022386</v>
      </c>
      <c r="H2189" s="4" t="s">
        <v>6944</v>
      </c>
      <c r="I2189" s="4" t="s">
        <v>6832</v>
      </c>
      <c r="J2189" s="4" t="s">
        <v>6871</v>
      </c>
      <c r="K2189" s="4" t="s">
        <v>6945</v>
      </c>
      <c r="L2189" s="5">
        <v>82131</v>
      </c>
    </row>
    <row r="2190" spans="1:12" x14ac:dyDescent="0.25">
      <c r="A2190" s="3" t="s">
        <v>6486</v>
      </c>
      <c r="B2190" s="4" t="s">
        <v>6825</v>
      </c>
      <c r="C2190" s="4" t="s">
        <v>14</v>
      </c>
      <c r="D2190" s="4" t="s">
        <v>15</v>
      </c>
      <c r="E2190" s="5" t="str">
        <f>"9510102"</f>
        <v>9510102</v>
      </c>
      <c r="F2190" s="3" t="s">
        <v>6946</v>
      </c>
      <c r="G2190" s="5">
        <v>2271024491</v>
      </c>
      <c r="H2190" s="4" t="s">
        <v>6947</v>
      </c>
      <c r="I2190" s="4" t="s">
        <v>6832</v>
      </c>
      <c r="J2190" s="4" t="s">
        <v>6871</v>
      </c>
      <c r="K2190" s="4" t="s">
        <v>6948</v>
      </c>
      <c r="L2190" s="5">
        <v>82132</v>
      </c>
    </row>
    <row r="2191" spans="1:12" ht="30" x14ac:dyDescent="0.25">
      <c r="A2191" s="3" t="s">
        <v>6486</v>
      </c>
      <c r="B2191" s="4" t="s">
        <v>6825</v>
      </c>
      <c r="C2191" s="4" t="s">
        <v>14</v>
      </c>
      <c r="D2191" s="4" t="s">
        <v>15</v>
      </c>
      <c r="E2191" s="5" t="str">
        <f>"9510043"</f>
        <v>9510043</v>
      </c>
      <c r="F2191" s="3" t="s">
        <v>6949</v>
      </c>
      <c r="G2191" s="5">
        <v>2271031226</v>
      </c>
      <c r="H2191" s="4" t="s">
        <v>6950</v>
      </c>
      <c r="I2191" s="4" t="s">
        <v>6832</v>
      </c>
      <c r="J2191" s="4" t="s">
        <v>6951</v>
      </c>
      <c r="K2191" s="4" t="s">
        <v>6952</v>
      </c>
      <c r="L2191" s="5">
        <v>82100</v>
      </c>
    </row>
    <row r="2192" spans="1:12" x14ac:dyDescent="0.25">
      <c r="A2192" s="3" t="s">
        <v>6486</v>
      </c>
      <c r="B2192" s="4" t="s">
        <v>6825</v>
      </c>
      <c r="C2192" s="4" t="s">
        <v>14</v>
      </c>
      <c r="D2192" s="4" t="s">
        <v>15</v>
      </c>
      <c r="E2192" s="5" t="str">
        <f>"9510104"</f>
        <v>9510104</v>
      </c>
      <c r="F2192" s="3" t="s">
        <v>6953</v>
      </c>
      <c r="G2192" s="5">
        <v>2271028513</v>
      </c>
      <c r="H2192" s="4" t="s">
        <v>6954</v>
      </c>
      <c r="I2192" s="4" t="s">
        <v>6832</v>
      </c>
      <c r="J2192" s="4" t="s">
        <v>6871</v>
      </c>
      <c r="K2192" s="4" t="s">
        <v>6851</v>
      </c>
      <c r="L2192" s="5">
        <v>82100</v>
      </c>
    </row>
    <row r="2193" spans="1:12" ht="30" x14ac:dyDescent="0.25">
      <c r="A2193" s="3" t="s">
        <v>6486</v>
      </c>
      <c r="B2193" s="4" t="s">
        <v>6825</v>
      </c>
      <c r="C2193" s="4" t="s">
        <v>14</v>
      </c>
      <c r="D2193" s="4" t="s">
        <v>15</v>
      </c>
      <c r="E2193" s="5" t="str">
        <f>"9510004"</f>
        <v>9510004</v>
      </c>
      <c r="F2193" s="3" t="s">
        <v>6955</v>
      </c>
      <c r="G2193" s="5">
        <v>2271092482</v>
      </c>
      <c r="H2193" s="4" t="s">
        <v>6956</v>
      </c>
      <c r="I2193" s="4" t="s">
        <v>6832</v>
      </c>
      <c r="J2193" s="4" t="s">
        <v>6921</v>
      </c>
      <c r="K2193" s="4" t="s">
        <v>6957</v>
      </c>
      <c r="L2193" s="5">
        <v>82200</v>
      </c>
    </row>
    <row r="2194" spans="1:12" x14ac:dyDescent="0.25">
      <c r="A2194" s="3" t="s">
        <v>6486</v>
      </c>
      <c r="B2194" s="4" t="s">
        <v>6825</v>
      </c>
      <c r="C2194" s="4" t="s">
        <v>14</v>
      </c>
      <c r="D2194" s="4" t="s">
        <v>15</v>
      </c>
      <c r="E2194" s="5" t="str">
        <f>"9510001"</f>
        <v>9510001</v>
      </c>
      <c r="F2194" s="3" t="s">
        <v>6958</v>
      </c>
      <c r="G2194" s="5">
        <v>2271092356</v>
      </c>
      <c r="H2194" s="4" t="s">
        <v>6959</v>
      </c>
      <c r="I2194" s="4" t="s">
        <v>6832</v>
      </c>
      <c r="J2194" s="4" t="s">
        <v>6921</v>
      </c>
      <c r="K2194" s="4" t="s">
        <v>6960</v>
      </c>
      <c r="L2194" s="5">
        <v>82200</v>
      </c>
    </row>
    <row r="2195" spans="1:12" x14ac:dyDescent="0.25">
      <c r="A2195" s="3" t="s">
        <v>6486</v>
      </c>
      <c r="B2195" s="4" t="s">
        <v>6825</v>
      </c>
      <c r="C2195" s="4" t="s">
        <v>14</v>
      </c>
      <c r="D2195" s="4" t="s">
        <v>179</v>
      </c>
      <c r="E2195" s="5" t="str">
        <f>"9510048"</f>
        <v>9510048</v>
      </c>
      <c r="F2195" s="3" t="s">
        <v>6961</v>
      </c>
      <c r="G2195" s="5">
        <v>2271079215</v>
      </c>
      <c r="H2195" s="4" t="s">
        <v>6962</v>
      </c>
      <c r="I2195" s="4" t="s">
        <v>6832</v>
      </c>
      <c r="J2195" s="4" t="s">
        <v>6963</v>
      </c>
      <c r="K2195" s="4" t="s">
        <v>6963</v>
      </c>
      <c r="L2195" s="5">
        <v>82100</v>
      </c>
    </row>
    <row r="2196" spans="1:12" x14ac:dyDescent="0.25">
      <c r="A2196" s="3" t="s">
        <v>6964</v>
      </c>
      <c r="B2196" s="4" t="s">
        <v>6965</v>
      </c>
      <c r="C2196" s="4" t="s">
        <v>25</v>
      </c>
      <c r="D2196" s="4" t="s">
        <v>26</v>
      </c>
      <c r="E2196" s="5" t="str">
        <f>"9010093"</f>
        <v>9010093</v>
      </c>
      <c r="F2196" s="3" t="s">
        <v>6966</v>
      </c>
      <c r="G2196" s="5">
        <v>2641021917</v>
      </c>
      <c r="H2196" s="4" t="s">
        <v>6967</v>
      </c>
      <c r="I2196" s="4" t="s">
        <v>6968</v>
      </c>
      <c r="J2196" s="4" t="s">
        <v>6968</v>
      </c>
      <c r="K2196" s="4" t="s">
        <v>6969</v>
      </c>
      <c r="L2196" s="5">
        <v>30131</v>
      </c>
    </row>
    <row r="2197" spans="1:12" x14ac:dyDescent="0.25">
      <c r="A2197" s="3" t="s">
        <v>6964</v>
      </c>
      <c r="B2197" s="4" t="s">
        <v>6965</v>
      </c>
      <c r="C2197" s="4" t="s">
        <v>14</v>
      </c>
      <c r="D2197" s="4" t="s">
        <v>15</v>
      </c>
      <c r="E2197" s="5" t="str">
        <f>"9010289"</f>
        <v>9010289</v>
      </c>
      <c r="F2197" s="3" t="s">
        <v>6970</v>
      </c>
      <c r="G2197" s="5">
        <v>2631022351</v>
      </c>
      <c r="H2197" s="4" t="s">
        <v>6971</v>
      </c>
      <c r="I2197" s="4" t="s">
        <v>6972</v>
      </c>
      <c r="J2197" s="4" t="s">
        <v>6973</v>
      </c>
      <c r="K2197" s="4" t="s">
        <v>6974</v>
      </c>
      <c r="L2197" s="5">
        <v>30200</v>
      </c>
    </row>
    <row r="2198" spans="1:12" x14ac:dyDescent="0.25">
      <c r="A2198" s="3" t="s">
        <v>6964</v>
      </c>
      <c r="B2198" s="4" t="s">
        <v>6965</v>
      </c>
      <c r="C2198" s="4" t="s">
        <v>25</v>
      </c>
      <c r="D2198" s="4" t="s">
        <v>26</v>
      </c>
      <c r="E2198" s="5" t="str">
        <f>"9010649"</f>
        <v>9010649</v>
      </c>
      <c r="F2198" s="3" t="s">
        <v>6975</v>
      </c>
      <c r="G2198" s="5">
        <v>2643360405</v>
      </c>
      <c r="H2198" s="4" t="s">
        <v>6976</v>
      </c>
      <c r="I2198" s="4" t="s">
        <v>6977</v>
      </c>
      <c r="J2198" s="4" t="s">
        <v>6978</v>
      </c>
      <c r="K2198" s="4" t="s">
        <v>6979</v>
      </c>
      <c r="L2198" s="5">
        <v>30012</v>
      </c>
    </row>
    <row r="2199" spans="1:12" x14ac:dyDescent="0.25">
      <c r="A2199" s="3" t="s">
        <v>6964</v>
      </c>
      <c r="B2199" s="4" t="s">
        <v>6965</v>
      </c>
      <c r="C2199" s="4" t="s">
        <v>14</v>
      </c>
      <c r="D2199" s="4" t="s">
        <v>15</v>
      </c>
      <c r="E2199" s="5" t="str">
        <f>"9010098"</f>
        <v>9010098</v>
      </c>
      <c r="F2199" s="3" t="s">
        <v>6980</v>
      </c>
      <c r="G2199" s="5">
        <v>2641022037</v>
      </c>
      <c r="H2199" s="4" t="s">
        <v>6981</v>
      </c>
      <c r="I2199" s="4" t="s">
        <v>6968</v>
      </c>
      <c r="J2199" s="4" t="s">
        <v>6982</v>
      </c>
      <c r="K2199" s="4" t="s">
        <v>6983</v>
      </c>
      <c r="L2199" s="5">
        <v>30027</v>
      </c>
    </row>
    <row r="2200" spans="1:12" x14ac:dyDescent="0.25">
      <c r="A2200" s="3" t="s">
        <v>6964</v>
      </c>
      <c r="B2200" s="4" t="s">
        <v>6965</v>
      </c>
      <c r="C2200" s="4" t="s">
        <v>25</v>
      </c>
      <c r="D2200" s="4" t="s">
        <v>26</v>
      </c>
      <c r="E2200" s="5" t="str">
        <f>"9010457"</f>
        <v>9010457</v>
      </c>
      <c r="F2200" s="3" t="s">
        <v>6984</v>
      </c>
      <c r="G2200" s="5">
        <v>2641055369</v>
      </c>
      <c r="H2200" s="4" t="s">
        <v>6985</v>
      </c>
      <c r="I2200" s="4" t="s">
        <v>6968</v>
      </c>
      <c r="J2200" s="4" t="s">
        <v>6968</v>
      </c>
      <c r="K2200" s="4" t="s">
        <v>6986</v>
      </c>
      <c r="L2200" s="5">
        <v>30100</v>
      </c>
    </row>
    <row r="2201" spans="1:12" x14ac:dyDescent="0.25">
      <c r="A2201" s="3" t="s">
        <v>6964</v>
      </c>
      <c r="B2201" s="4" t="s">
        <v>6965</v>
      </c>
      <c r="C2201" s="4" t="s">
        <v>25</v>
      </c>
      <c r="D2201" s="4" t="s">
        <v>26</v>
      </c>
      <c r="E2201" s="5" t="str">
        <f>"9010452"</f>
        <v>9010452</v>
      </c>
      <c r="F2201" s="3" t="s">
        <v>6987</v>
      </c>
      <c r="G2201" s="5">
        <v>2641048005</v>
      </c>
      <c r="H2201" s="4" t="s">
        <v>6988</v>
      </c>
      <c r="I2201" s="4" t="s">
        <v>6968</v>
      </c>
      <c r="J2201" s="4" t="s">
        <v>6968</v>
      </c>
      <c r="K2201" s="4" t="s">
        <v>6989</v>
      </c>
      <c r="L2201" s="5">
        <v>30100</v>
      </c>
    </row>
    <row r="2202" spans="1:12" x14ac:dyDescent="0.25">
      <c r="A2202" s="3" t="s">
        <v>6964</v>
      </c>
      <c r="B2202" s="4" t="s">
        <v>6965</v>
      </c>
      <c r="C2202" s="4" t="s">
        <v>25</v>
      </c>
      <c r="D2202" s="4" t="s">
        <v>26</v>
      </c>
      <c r="E2202" s="5" t="str">
        <f>"9010099"</f>
        <v>9010099</v>
      </c>
      <c r="F2202" s="3" t="s">
        <v>6990</v>
      </c>
      <c r="G2202" s="5">
        <v>2641027304</v>
      </c>
      <c r="H2202" s="4" t="s">
        <v>6991</v>
      </c>
      <c r="I2202" s="4" t="s">
        <v>6968</v>
      </c>
      <c r="J2202" s="4" t="s">
        <v>6968</v>
      </c>
      <c r="K2202" s="4" t="s">
        <v>6992</v>
      </c>
      <c r="L2202" s="5">
        <v>30132</v>
      </c>
    </row>
    <row r="2203" spans="1:12" x14ac:dyDescent="0.25">
      <c r="A2203" s="3" t="s">
        <v>6964</v>
      </c>
      <c r="B2203" s="4" t="s">
        <v>6965</v>
      </c>
      <c r="C2203" s="4" t="s">
        <v>25</v>
      </c>
      <c r="D2203" s="4" t="s">
        <v>26</v>
      </c>
      <c r="E2203" s="5" t="str">
        <f>"9010109"</f>
        <v>9010109</v>
      </c>
      <c r="F2203" s="3" t="s">
        <v>6993</v>
      </c>
      <c r="G2203" s="5">
        <v>2641024398</v>
      </c>
      <c r="H2203" s="4" t="s">
        <v>6994</v>
      </c>
      <c r="I2203" s="4" t="s">
        <v>6968</v>
      </c>
      <c r="J2203" s="4" t="s">
        <v>6995</v>
      </c>
      <c r="K2203" s="4" t="s">
        <v>6996</v>
      </c>
      <c r="L2203" s="5">
        <v>30027</v>
      </c>
    </row>
    <row r="2204" spans="1:12" x14ac:dyDescent="0.25">
      <c r="A2204" s="3" t="s">
        <v>6964</v>
      </c>
      <c r="B2204" s="4" t="s">
        <v>6965</v>
      </c>
      <c r="C2204" s="4" t="s">
        <v>25</v>
      </c>
      <c r="D2204" s="4" t="s">
        <v>26</v>
      </c>
      <c r="E2204" s="5" t="str">
        <f>"9010586"</f>
        <v>9010586</v>
      </c>
      <c r="F2204" s="3" t="s">
        <v>6997</v>
      </c>
      <c r="G2204" s="5">
        <v>2641023955</v>
      </c>
      <c r="H2204" s="4" t="s">
        <v>6998</v>
      </c>
      <c r="I2204" s="4" t="s">
        <v>6968</v>
      </c>
      <c r="J2204" s="4" t="s">
        <v>6968</v>
      </c>
      <c r="K2204" s="4" t="s">
        <v>6999</v>
      </c>
      <c r="L2204" s="5">
        <v>30100</v>
      </c>
    </row>
    <row r="2205" spans="1:12" x14ac:dyDescent="0.25">
      <c r="A2205" s="3" t="s">
        <v>6964</v>
      </c>
      <c r="B2205" s="4" t="s">
        <v>6965</v>
      </c>
      <c r="C2205" s="4" t="s">
        <v>25</v>
      </c>
      <c r="D2205" s="4" t="s">
        <v>26</v>
      </c>
      <c r="E2205" s="5" t="str">
        <f>"9010009"</f>
        <v>9010009</v>
      </c>
      <c r="F2205" s="3" t="s">
        <v>7000</v>
      </c>
      <c r="G2205" s="5">
        <v>2641026818</v>
      </c>
      <c r="H2205" s="4" t="s">
        <v>7001</v>
      </c>
      <c r="I2205" s="4" t="s">
        <v>6968</v>
      </c>
      <c r="J2205" s="4" t="s">
        <v>6968</v>
      </c>
      <c r="K2205" s="4" t="s">
        <v>7002</v>
      </c>
      <c r="L2205" s="5">
        <v>30131</v>
      </c>
    </row>
    <row r="2206" spans="1:12" x14ac:dyDescent="0.25">
      <c r="A2206" s="3" t="s">
        <v>6964</v>
      </c>
      <c r="B2206" s="4" t="s">
        <v>6965</v>
      </c>
      <c r="C2206" s="4" t="s">
        <v>25</v>
      </c>
      <c r="D2206" s="4" t="s">
        <v>26</v>
      </c>
      <c r="E2206" s="5" t="str">
        <f>"9010581"</f>
        <v>9010581</v>
      </c>
      <c r="F2206" s="3" t="s">
        <v>7003</v>
      </c>
      <c r="G2206" s="5">
        <v>2641027407</v>
      </c>
      <c r="H2206" s="4" t="s">
        <v>7004</v>
      </c>
      <c r="I2206" s="4" t="s">
        <v>6968</v>
      </c>
      <c r="J2206" s="4" t="s">
        <v>6968</v>
      </c>
      <c r="K2206" s="4" t="s">
        <v>7005</v>
      </c>
      <c r="L2206" s="5">
        <v>30133</v>
      </c>
    </row>
    <row r="2207" spans="1:12" x14ac:dyDescent="0.25">
      <c r="A2207" s="3" t="s">
        <v>6964</v>
      </c>
      <c r="B2207" s="4" t="s">
        <v>6965</v>
      </c>
      <c r="C2207" s="4" t="s">
        <v>14</v>
      </c>
      <c r="D2207" s="4" t="s">
        <v>15</v>
      </c>
      <c r="E2207" s="5" t="str">
        <f>"9010096"</f>
        <v>9010096</v>
      </c>
      <c r="F2207" s="3" t="s">
        <v>7006</v>
      </c>
      <c r="G2207" s="5">
        <v>2641026430</v>
      </c>
      <c r="H2207" s="4" t="s">
        <v>7007</v>
      </c>
      <c r="I2207" s="4" t="s">
        <v>6968</v>
      </c>
      <c r="J2207" s="4" t="s">
        <v>7008</v>
      </c>
      <c r="K2207" s="4" t="s">
        <v>7009</v>
      </c>
      <c r="L2207" s="5">
        <v>30100</v>
      </c>
    </row>
    <row r="2208" spans="1:12" x14ac:dyDescent="0.25">
      <c r="A2208" s="3" t="s">
        <v>6964</v>
      </c>
      <c r="B2208" s="4" t="s">
        <v>6965</v>
      </c>
      <c r="C2208" s="4" t="s">
        <v>25</v>
      </c>
      <c r="D2208" s="4" t="s">
        <v>26</v>
      </c>
      <c r="E2208" s="5" t="str">
        <f>"9010511"</f>
        <v>9010511</v>
      </c>
      <c r="F2208" s="3" t="s">
        <v>7010</v>
      </c>
      <c r="G2208" s="5">
        <v>2641051462</v>
      </c>
      <c r="H2208" s="4" t="s">
        <v>7011</v>
      </c>
      <c r="I2208" s="4" t="s">
        <v>6968</v>
      </c>
      <c r="J2208" s="4"/>
      <c r="K2208" s="4" t="s">
        <v>7012</v>
      </c>
      <c r="L2208" s="5">
        <v>30003</v>
      </c>
    </row>
    <row r="2209" spans="1:12" x14ac:dyDescent="0.25">
      <c r="A2209" s="3" t="s">
        <v>6964</v>
      </c>
      <c r="B2209" s="4" t="s">
        <v>6965</v>
      </c>
      <c r="C2209" s="4" t="s">
        <v>25</v>
      </c>
      <c r="D2209" s="4" t="s">
        <v>26</v>
      </c>
      <c r="E2209" s="5" t="str">
        <f>"9010480"</f>
        <v>9010480</v>
      </c>
      <c r="F2209" s="3" t="s">
        <v>7013</v>
      </c>
      <c r="G2209" s="5">
        <v>2641032734</v>
      </c>
      <c r="H2209" s="4" t="s">
        <v>7014</v>
      </c>
      <c r="I2209" s="4" t="s">
        <v>6968</v>
      </c>
      <c r="J2209" s="4" t="s">
        <v>7015</v>
      </c>
      <c r="K2209" s="4" t="s">
        <v>7016</v>
      </c>
      <c r="L2209" s="5">
        <v>30100</v>
      </c>
    </row>
    <row r="2210" spans="1:12" x14ac:dyDescent="0.25">
      <c r="A2210" s="3" t="s">
        <v>6964</v>
      </c>
      <c r="B2210" s="4" t="s">
        <v>6965</v>
      </c>
      <c r="C2210" s="4" t="s">
        <v>25</v>
      </c>
      <c r="D2210" s="4" t="s">
        <v>26</v>
      </c>
      <c r="E2210" s="5" t="str">
        <f>"9010598"</f>
        <v>9010598</v>
      </c>
      <c r="F2210" s="3" t="s">
        <v>7017</v>
      </c>
      <c r="G2210" s="5">
        <v>2641045394</v>
      </c>
      <c r="H2210" s="4" t="s">
        <v>7018</v>
      </c>
      <c r="I2210" s="4" t="s">
        <v>6968</v>
      </c>
      <c r="J2210" s="4" t="s">
        <v>7019</v>
      </c>
      <c r="K2210" s="4" t="s">
        <v>7020</v>
      </c>
      <c r="L2210" s="5">
        <v>30132</v>
      </c>
    </row>
    <row r="2211" spans="1:12" x14ac:dyDescent="0.25">
      <c r="A2211" s="3" t="s">
        <v>6964</v>
      </c>
      <c r="B2211" s="4" t="s">
        <v>6965</v>
      </c>
      <c r="C2211" s="4" t="s">
        <v>14</v>
      </c>
      <c r="D2211" s="4" t="s">
        <v>15</v>
      </c>
      <c r="E2211" s="5" t="str">
        <f>"9010095"</f>
        <v>9010095</v>
      </c>
      <c r="F2211" s="3" t="s">
        <v>7021</v>
      </c>
      <c r="G2211" s="5">
        <v>2641024884</v>
      </c>
      <c r="H2211" s="4" t="s">
        <v>7022</v>
      </c>
      <c r="I2211" s="4" t="s">
        <v>6968</v>
      </c>
      <c r="J2211" s="4" t="s">
        <v>7008</v>
      </c>
      <c r="K2211" s="4" t="s">
        <v>7023</v>
      </c>
      <c r="L2211" s="5">
        <v>30100</v>
      </c>
    </row>
    <row r="2212" spans="1:12" x14ac:dyDescent="0.25">
      <c r="A2212" s="3" t="s">
        <v>6964</v>
      </c>
      <c r="B2212" s="4" t="s">
        <v>6965</v>
      </c>
      <c r="C2212" s="4" t="s">
        <v>14</v>
      </c>
      <c r="D2212" s="4" t="s">
        <v>15</v>
      </c>
      <c r="E2212" s="5" t="str">
        <f>"9010241"</f>
        <v>9010241</v>
      </c>
      <c r="F2212" s="3" t="s">
        <v>7024</v>
      </c>
      <c r="G2212" s="5">
        <v>2643051243</v>
      </c>
      <c r="H2212" s="4" t="s">
        <v>7025</v>
      </c>
      <c r="I2212" s="4" t="s">
        <v>6977</v>
      </c>
      <c r="J2212" s="4" t="s">
        <v>7026</v>
      </c>
      <c r="K2212" s="4" t="s">
        <v>7027</v>
      </c>
      <c r="L2212" s="5">
        <v>30002</v>
      </c>
    </row>
    <row r="2213" spans="1:12" x14ac:dyDescent="0.25">
      <c r="A2213" s="3" t="s">
        <v>6964</v>
      </c>
      <c r="B2213" s="4" t="s">
        <v>6965</v>
      </c>
      <c r="C2213" s="4" t="s">
        <v>25</v>
      </c>
      <c r="D2213" s="4" t="s">
        <v>26</v>
      </c>
      <c r="E2213" s="5" t="str">
        <f>"9010007"</f>
        <v>9010007</v>
      </c>
      <c r="F2213" s="3" t="s">
        <v>7028</v>
      </c>
      <c r="G2213" s="5">
        <v>2641023981</v>
      </c>
      <c r="H2213" s="4" t="s">
        <v>7029</v>
      </c>
      <c r="I2213" s="4" t="s">
        <v>6968</v>
      </c>
      <c r="J2213" s="4" t="s">
        <v>7030</v>
      </c>
      <c r="K2213" s="4" t="s">
        <v>7031</v>
      </c>
      <c r="L2213" s="5">
        <v>30132</v>
      </c>
    </row>
    <row r="2214" spans="1:12" x14ac:dyDescent="0.25">
      <c r="A2214" s="3" t="s">
        <v>6964</v>
      </c>
      <c r="B2214" s="4" t="s">
        <v>6965</v>
      </c>
      <c r="C2214" s="4" t="s">
        <v>25</v>
      </c>
      <c r="D2214" s="4" t="s">
        <v>26</v>
      </c>
      <c r="E2214" s="5" t="str">
        <f>"9010006"</f>
        <v>9010006</v>
      </c>
      <c r="F2214" s="3" t="s">
        <v>7032</v>
      </c>
      <c r="G2214" s="5">
        <v>2641058301</v>
      </c>
      <c r="H2214" s="4" t="s">
        <v>7033</v>
      </c>
      <c r="I2214" s="4" t="s">
        <v>6968</v>
      </c>
      <c r="J2214" s="4" t="s">
        <v>6968</v>
      </c>
      <c r="K2214" s="4" t="s">
        <v>7034</v>
      </c>
      <c r="L2214" s="5">
        <v>30100</v>
      </c>
    </row>
    <row r="2215" spans="1:12" x14ac:dyDescent="0.25">
      <c r="A2215" s="3" t="s">
        <v>6964</v>
      </c>
      <c r="B2215" s="4" t="s">
        <v>6965</v>
      </c>
      <c r="C2215" s="4" t="s">
        <v>25</v>
      </c>
      <c r="D2215" s="4" t="s">
        <v>26</v>
      </c>
      <c r="E2215" s="5" t="str">
        <f>"9010613"</f>
        <v>9010613</v>
      </c>
      <c r="F2215" s="3" t="s">
        <v>7035</v>
      </c>
      <c r="G2215" s="5">
        <v>2641045475</v>
      </c>
      <c r="H2215" s="4" t="s">
        <v>7036</v>
      </c>
      <c r="I2215" s="4" t="s">
        <v>6968</v>
      </c>
      <c r="J2215" s="4" t="s">
        <v>6968</v>
      </c>
      <c r="K2215" s="4" t="s">
        <v>7037</v>
      </c>
      <c r="L2215" s="5">
        <v>30133</v>
      </c>
    </row>
    <row r="2216" spans="1:12" x14ac:dyDescent="0.25">
      <c r="A2216" s="3" t="s">
        <v>6964</v>
      </c>
      <c r="B2216" s="4" t="s">
        <v>6965</v>
      </c>
      <c r="C2216" s="4" t="s">
        <v>25</v>
      </c>
      <c r="D2216" s="4" t="s">
        <v>26</v>
      </c>
      <c r="E2216" s="5" t="str">
        <f>"9010003"</f>
        <v>9010003</v>
      </c>
      <c r="F2216" s="3" t="s">
        <v>7038</v>
      </c>
      <c r="G2216" s="5">
        <v>2641027352</v>
      </c>
      <c r="H2216" s="4" t="s">
        <v>7039</v>
      </c>
      <c r="I2216" s="4" t="s">
        <v>6968</v>
      </c>
      <c r="J2216" s="4" t="s">
        <v>7030</v>
      </c>
      <c r="K2216" s="4" t="s">
        <v>7040</v>
      </c>
      <c r="L2216" s="5">
        <v>30132</v>
      </c>
    </row>
    <row r="2217" spans="1:12" x14ac:dyDescent="0.25">
      <c r="A2217" s="3" t="s">
        <v>6964</v>
      </c>
      <c r="B2217" s="4" t="s">
        <v>6965</v>
      </c>
      <c r="C2217" s="4" t="s">
        <v>25</v>
      </c>
      <c r="D2217" s="4" t="s">
        <v>26</v>
      </c>
      <c r="E2217" s="5" t="str">
        <f>"9010494"</f>
        <v>9010494</v>
      </c>
      <c r="F2217" s="3" t="s">
        <v>7041</v>
      </c>
      <c r="G2217" s="5">
        <v>2641024913</v>
      </c>
      <c r="H2217" s="4" t="s">
        <v>7042</v>
      </c>
      <c r="I2217" s="4" t="s">
        <v>6968</v>
      </c>
      <c r="J2217" s="4" t="s">
        <v>7008</v>
      </c>
      <c r="K2217" s="4" t="s">
        <v>7043</v>
      </c>
      <c r="L2217" s="5">
        <v>30133</v>
      </c>
    </row>
    <row r="2218" spans="1:12" x14ac:dyDescent="0.25">
      <c r="A2218" s="3" t="s">
        <v>6964</v>
      </c>
      <c r="B2218" s="4" t="s">
        <v>6965</v>
      </c>
      <c r="C2218" s="4" t="s">
        <v>14</v>
      </c>
      <c r="D2218" s="4" t="s">
        <v>15</v>
      </c>
      <c r="E2218" s="5" t="str">
        <f>"9010648"</f>
        <v>9010648</v>
      </c>
      <c r="F2218" s="3" t="s">
        <v>7044</v>
      </c>
      <c r="G2218" s="5">
        <v>2641031385</v>
      </c>
      <c r="H2218" s="4" t="s">
        <v>7045</v>
      </c>
      <c r="I2218" s="4" t="s">
        <v>6968</v>
      </c>
      <c r="J2218" s="4" t="s">
        <v>746</v>
      </c>
      <c r="K2218" s="4" t="s">
        <v>7046</v>
      </c>
      <c r="L2218" s="5">
        <v>30100</v>
      </c>
    </row>
    <row r="2219" spans="1:12" x14ac:dyDescent="0.25">
      <c r="A2219" s="3" t="s">
        <v>6964</v>
      </c>
      <c r="B2219" s="4" t="s">
        <v>6965</v>
      </c>
      <c r="C2219" s="4" t="s">
        <v>14</v>
      </c>
      <c r="D2219" s="4" t="s">
        <v>15</v>
      </c>
      <c r="E2219" s="5" t="str">
        <f>"9010642"</f>
        <v>9010642</v>
      </c>
      <c r="F2219" s="3" t="s">
        <v>7047</v>
      </c>
      <c r="G2219" s="5">
        <v>2641361613</v>
      </c>
      <c r="H2219" s="4" t="s">
        <v>7048</v>
      </c>
      <c r="I2219" s="4" t="s">
        <v>6968</v>
      </c>
      <c r="J2219" s="4" t="s">
        <v>7049</v>
      </c>
      <c r="K2219" s="4" t="s">
        <v>7050</v>
      </c>
      <c r="L2219" s="5">
        <v>30005</v>
      </c>
    </row>
    <row r="2220" spans="1:12" x14ac:dyDescent="0.25">
      <c r="A2220" s="3" t="s">
        <v>6964</v>
      </c>
      <c r="B2220" s="4" t="s">
        <v>6965</v>
      </c>
      <c r="C2220" s="4" t="s">
        <v>14</v>
      </c>
      <c r="D2220" s="4" t="s">
        <v>15</v>
      </c>
      <c r="E2220" s="5" t="str">
        <f>"9010097"</f>
        <v>9010097</v>
      </c>
      <c r="F2220" s="3" t="s">
        <v>7051</v>
      </c>
      <c r="G2220" s="5">
        <v>2641024194</v>
      </c>
      <c r="H2220" s="4" t="s">
        <v>7052</v>
      </c>
      <c r="I2220" s="4" t="s">
        <v>6968</v>
      </c>
      <c r="J2220" s="4" t="s">
        <v>7053</v>
      </c>
      <c r="K2220" s="4" t="s">
        <v>7054</v>
      </c>
      <c r="L2220" s="5">
        <v>30027</v>
      </c>
    </row>
    <row r="2221" spans="1:12" x14ac:dyDescent="0.25">
      <c r="A2221" s="3" t="s">
        <v>6964</v>
      </c>
      <c r="B2221" s="4" t="s">
        <v>6965</v>
      </c>
      <c r="C2221" s="4" t="s">
        <v>14</v>
      </c>
      <c r="D2221" s="4" t="s">
        <v>15</v>
      </c>
      <c r="E2221" s="5" t="str">
        <f>"9010385"</f>
        <v>9010385</v>
      </c>
      <c r="F2221" s="3" t="s">
        <v>7055</v>
      </c>
      <c r="G2221" s="5">
        <v>2631028150</v>
      </c>
      <c r="H2221" s="4" t="s">
        <v>7056</v>
      </c>
      <c r="I2221" s="4" t="s">
        <v>6972</v>
      </c>
      <c r="J2221" s="4" t="s">
        <v>7057</v>
      </c>
      <c r="K2221" s="4" t="s">
        <v>7058</v>
      </c>
      <c r="L2221" s="5">
        <v>30200</v>
      </c>
    </row>
    <row r="2222" spans="1:12" x14ac:dyDescent="0.25">
      <c r="A2222" s="3" t="s">
        <v>6964</v>
      </c>
      <c r="B2222" s="4" t="s">
        <v>6965</v>
      </c>
      <c r="C2222" s="4" t="s">
        <v>14</v>
      </c>
      <c r="D2222" s="4" t="s">
        <v>15</v>
      </c>
      <c r="E2222" s="5" t="str">
        <f>"9010604"</f>
        <v>9010604</v>
      </c>
      <c r="F2222" s="3" t="s">
        <v>7059</v>
      </c>
      <c r="G2222" s="5">
        <v>2641020645</v>
      </c>
      <c r="H2222" s="4" t="s">
        <v>7060</v>
      </c>
      <c r="I2222" s="4" t="s">
        <v>6968</v>
      </c>
      <c r="J2222" s="4" t="s">
        <v>7008</v>
      </c>
      <c r="K2222" s="4" t="s">
        <v>7061</v>
      </c>
      <c r="L2222" s="5">
        <v>30132</v>
      </c>
    </row>
    <row r="2223" spans="1:12" x14ac:dyDescent="0.25">
      <c r="A2223" s="3" t="s">
        <v>6964</v>
      </c>
      <c r="B2223" s="4" t="s">
        <v>6965</v>
      </c>
      <c r="C2223" s="4" t="s">
        <v>14</v>
      </c>
      <c r="D2223" s="4" t="s">
        <v>15</v>
      </c>
      <c r="E2223" s="5" t="str">
        <f>"9010001"</f>
        <v>9010001</v>
      </c>
      <c r="F2223" s="3" t="s">
        <v>7062</v>
      </c>
      <c r="G2223" s="5">
        <v>2641023468</v>
      </c>
      <c r="H2223" s="4" t="s">
        <v>7063</v>
      </c>
      <c r="I2223" s="4" t="s">
        <v>6968</v>
      </c>
      <c r="J2223" s="4" t="s">
        <v>7030</v>
      </c>
      <c r="K2223" s="4" t="s">
        <v>7064</v>
      </c>
      <c r="L2223" s="5">
        <v>30100</v>
      </c>
    </row>
    <row r="2224" spans="1:12" x14ac:dyDescent="0.25">
      <c r="A2224" s="3" t="s">
        <v>6964</v>
      </c>
      <c r="B2224" s="4" t="s">
        <v>6965</v>
      </c>
      <c r="C2224" s="4" t="s">
        <v>14</v>
      </c>
      <c r="D2224" s="4" t="s">
        <v>15</v>
      </c>
      <c r="E2224" s="5" t="str">
        <f>"9010005"</f>
        <v>9010005</v>
      </c>
      <c r="F2224" s="3" t="s">
        <v>7065</v>
      </c>
      <c r="G2224" s="5">
        <v>2641045988</v>
      </c>
      <c r="H2224" s="4" t="s">
        <v>7066</v>
      </c>
      <c r="I2224" s="4" t="s">
        <v>6968</v>
      </c>
      <c r="J2224" s="4" t="s">
        <v>6968</v>
      </c>
      <c r="K2224" s="4" t="s">
        <v>7067</v>
      </c>
      <c r="L2224" s="5">
        <v>30131</v>
      </c>
    </row>
    <row r="2225" spans="1:12" x14ac:dyDescent="0.25">
      <c r="A2225" s="3" t="s">
        <v>6964</v>
      </c>
      <c r="B2225" s="4" t="s">
        <v>6965</v>
      </c>
      <c r="C2225" s="4" t="s">
        <v>14</v>
      </c>
      <c r="D2225" s="4" t="s">
        <v>15</v>
      </c>
      <c r="E2225" s="5" t="str">
        <f>"9010645"</f>
        <v>9010645</v>
      </c>
      <c r="F2225" s="3" t="s">
        <v>7068</v>
      </c>
      <c r="G2225" s="5">
        <v>2643041216</v>
      </c>
      <c r="H2225" s="4" t="s">
        <v>7069</v>
      </c>
      <c r="I2225" s="4" t="s">
        <v>6977</v>
      </c>
      <c r="J2225" s="4" t="s">
        <v>6979</v>
      </c>
      <c r="K2225" s="4" t="s">
        <v>7070</v>
      </c>
      <c r="L2225" s="5">
        <v>30012</v>
      </c>
    </row>
    <row r="2226" spans="1:12" x14ac:dyDescent="0.25">
      <c r="A2226" s="3" t="s">
        <v>6964</v>
      </c>
      <c r="B2226" s="4" t="s">
        <v>6965</v>
      </c>
      <c r="C2226" s="4" t="s">
        <v>25</v>
      </c>
      <c r="D2226" s="4" t="s">
        <v>26</v>
      </c>
      <c r="E2226" s="5" t="str">
        <f>"9010469"</f>
        <v>9010469</v>
      </c>
      <c r="F2226" s="3" t="s">
        <v>7071</v>
      </c>
      <c r="G2226" s="5">
        <v>2642051922</v>
      </c>
      <c r="H2226" s="4" t="s">
        <v>7072</v>
      </c>
      <c r="I2226" s="4" t="s">
        <v>7073</v>
      </c>
      <c r="J2226" s="4" t="s">
        <v>7074</v>
      </c>
      <c r="K2226" s="4" t="s">
        <v>7074</v>
      </c>
      <c r="L2226" s="5">
        <v>30500</v>
      </c>
    </row>
    <row r="2227" spans="1:12" x14ac:dyDescent="0.25">
      <c r="A2227" s="3" t="s">
        <v>6964</v>
      </c>
      <c r="B2227" s="4" t="s">
        <v>6965</v>
      </c>
      <c r="C2227" s="4" t="s">
        <v>14</v>
      </c>
      <c r="D2227" s="4" t="s">
        <v>15</v>
      </c>
      <c r="E2227" s="5" t="str">
        <f>"9010265"</f>
        <v>9010265</v>
      </c>
      <c r="F2227" s="3" t="s">
        <v>7075</v>
      </c>
      <c r="G2227" s="5">
        <v>2632091368</v>
      </c>
      <c r="H2227" s="4" t="s">
        <v>7076</v>
      </c>
      <c r="I2227" s="4" t="s">
        <v>6972</v>
      </c>
      <c r="J2227" s="4" t="s">
        <v>7077</v>
      </c>
      <c r="K2227" s="4" t="s">
        <v>7078</v>
      </c>
      <c r="L2227" s="5">
        <v>30007</v>
      </c>
    </row>
    <row r="2228" spans="1:12" x14ac:dyDescent="0.25">
      <c r="A2228" s="3" t="s">
        <v>6964</v>
      </c>
      <c r="B2228" s="4" t="s">
        <v>6965</v>
      </c>
      <c r="C2228" s="4" t="s">
        <v>14</v>
      </c>
      <c r="D2228" s="4" t="s">
        <v>15</v>
      </c>
      <c r="E2228" s="5" t="str">
        <f>"9010013"</f>
        <v>9010013</v>
      </c>
      <c r="F2228" s="3" t="s">
        <v>7079</v>
      </c>
      <c r="G2228" s="5">
        <v>2641023479</v>
      </c>
      <c r="H2228" s="4" t="s">
        <v>7080</v>
      </c>
      <c r="I2228" s="4" t="s">
        <v>6968</v>
      </c>
      <c r="J2228" s="4" t="s">
        <v>7008</v>
      </c>
      <c r="K2228" s="4" t="s">
        <v>7081</v>
      </c>
      <c r="L2228" s="5">
        <v>30133</v>
      </c>
    </row>
    <row r="2229" spans="1:12" x14ac:dyDescent="0.25">
      <c r="A2229" s="3" t="s">
        <v>6964</v>
      </c>
      <c r="B2229" s="4" t="s">
        <v>6965</v>
      </c>
      <c r="C2229" s="4" t="s">
        <v>14</v>
      </c>
      <c r="D2229" s="4" t="s">
        <v>15</v>
      </c>
      <c r="E2229" s="5" t="str">
        <f>"9010281"</f>
        <v>9010281</v>
      </c>
      <c r="F2229" s="3" t="s">
        <v>7082</v>
      </c>
      <c r="G2229" s="5">
        <v>2632360500</v>
      </c>
      <c r="H2229" s="4" t="s">
        <v>7083</v>
      </c>
      <c r="I2229" s="4" t="s">
        <v>6972</v>
      </c>
      <c r="J2229" s="4" t="s">
        <v>7084</v>
      </c>
      <c r="K2229" s="4" t="s">
        <v>7085</v>
      </c>
      <c r="L2229" s="5">
        <v>30400</v>
      </c>
    </row>
    <row r="2230" spans="1:12" x14ac:dyDescent="0.25">
      <c r="A2230" s="3" t="s">
        <v>6964</v>
      </c>
      <c r="B2230" s="4" t="s">
        <v>6965</v>
      </c>
      <c r="C2230" s="4" t="s">
        <v>14</v>
      </c>
      <c r="D2230" s="4" t="s">
        <v>15</v>
      </c>
      <c r="E2230" s="5" t="str">
        <f>"9010073"</f>
        <v>9010073</v>
      </c>
      <c r="F2230" s="3" t="s">
        <v>7086</v>
      </c>
      <c r="G2230" s="5">
        <v>2641092030</v>
      </c>
      <c r="H2230" s="4" t="s">
        <v>7087</v>
      </c>
      <c r="I2230" s="4" t="s">
        <v>6968</v>
      </c>
      <c r="J2230" s="4" t="s">
        <v>7088</v>
      </c>
      <c r="K2230" s="4" t="s">
        <v>7088</v>
      </c>
      <c r="L2230" s="5">
        <v>30100</v>
      </c>
    </row>
    <row r="2231" spans="1:12" x14ac:dyDescent="0.25">
      <c r="A2231" s="3" t="s">
        <v>6964</v>
      </c>
      <c r="B2231" s="4" t="s">
        <v>6965</v>
      </c>
      <c r="C2231" s="4" t="s">
        <v>14</v>
      </c>
      <c r="D2231" s="4" t="s">
        <v>15</v>
      </c>
      <c r="E2231" s="5" t="str">
        <f>"9010028"</f>
        <v>9010028</v>
      </c>
      <c r="F2231" s="3" t="s">
        <v>7089</v>
      </c>
      <c r="G2231" s="5">
        <v>2644022278</v>
      </c>
      <c r="H2231" s="4" t="s">
        <v>7090</v>
      </c>
      <c r="I2231" s="4" t="s">
        <v>7091</v>
      </c>
      <c r="J2231" s="4" t="s">
        <v>7092</v>
      </c>
      <c r="K2231" s="4" t="s">
        <v>7092</v>
      </c>
      <c r="L2231" s="5">
        <v>30008</v>
      </c>
    </row>
    <row r="2232" spans="1:12" x14ac:dyDescent="0.25">
      <c r="A2232" s="3" t="s">
        <v>6964</v>
      </c>
      <c r="B2232" s="4" t="s">
        <v>6965</v>
      </c>
      <c r="C2232" s="4" t="s">
        <v>14</v>
      </c>
      <c r="D2232" s="4" t="s">
        <v>15</v>
      </c>
      <c r="E2232" s="5" t="str">
        <f>"9010092"</f>
        <v>9010092</v>
      </c>
      <c r="F2232" s="3" t="s">
        <v>7093</v>
      </c>
      <c r="G2232" s="5">
        <v>2646022217</v>
      </c>
      <c r="H2232" s="4" t="s">
        <v>7094</v>
      </c>
      <c r="I2232" s="4" t="s">
        <v>7095</v>
      </c>
      <c r="J2232" s="4" t="s">
        <v>7096</v>
      </c>
      <c r="K2232" s="4" t="s">
        <v>7096</v>
      </c>
      <c r="L2232" s="5">
        <v>30009</v>
      </c>
    </row>
    <row r="2233" spans="1:12" x14ac:dyDescent="0.25">
      <c r="A2233" s="3" t="s">
        <v>6964</v>
      </c>
      <c r="B2233" s="4" t="s">
        <v>6965</v>
      </c>
      <c r="C2233" s="4" t="s">
        <v>14</v>
      </c>
      <c r="D2233" s="4" t="s">
        <v>15</v>
      </c>
      <c r="E2233" s="5" t="str">
        <f>"9010643"</f>
        <v>9010643</v>
      </c>
      <c r="F2233" s="3" t="s">
        <v>7097</v>
      </c>
      <c r="G2233" s="5">
        <v>2641061152</v>
      </c>
      <c r="H2233" s="4" t="s">
        <v>7098</v>
      </c>
      <c r="I2233" s="4" t="s">
        <v>6968</v>
      </c>
      <c r="J2233" s="4" t="s">
        <v>7099</v>
      </c>
      <c r="K2233" s="4" t="s">
        <v>7049</v>
      </c>
      <c r="L2233" s="5">
        <v>30005</v>
      </c>
    </row>
    <row r="2234" spans="1:12" x14ac:dyDescent="0.25">
      <c r="A2234" s="3" t="s">
        <v>6964</v>
      </c>
      <c r="B2234" s="4" t="s">
        <v>6965</v>
      </c>
      <c r="C2234" s="4" t="s">
        <v>14</v>
      </c>
      <c r="D2234" s="4" t="s">
        <v>15</v>
      </c>
      <c r="E2234" s="5" t="str">
        <f>"9010252"</f>
        <v>9010252</v>
      </c>
      <c r="F2234" s="3" t="s">
        <v>7100</v>
      </c>
      <c r="G2234" s="5">
        <v>2646041213</v>
      </c>
      <c r="H2234" s="4" t="s">
        <v>7101</v>
      </c>
      <c r="I2234" s="4" t="s">
        <v>7095</v>
      </c>
      <c r="J2234" s="4" t="s">
        <v>7102</v>
      </c>
      <c r="K2234" s="4" t="s">
        <v>7103</v>
      </c>
      <c r="L2234" s="5">
        <v>30006</v>
      </c>
    </row>
    <row r="2235" spans="1:12" x14ac:dyDescent="0.25">
      <c r="A2235" s="3" t="s">
        <v>6964</v>
      </c>
      <c r="B2235" s="4" t="s">
        <v>6965</v>
      </c>
      <c r="C2235" s="4" t="s">
        <v>14</v>
      </c>
      <c r="D2235" s="4" t="s">
        <v>179</v>
      </c>
      <c r="E2235" s="5" t="str">
        <f>"9010397"</f>
        <v>9010397</v>
      </c>
      <c r="F2235" s="3" t="s">
        <v>7104</v>
      </c>
      <c r="G2235" s="5">
        <v>2635041970</v>
      </c>
      <c r="H2235" s="4" t="s">
        <v>7105</v>
      </c>
      <c r="I2235" s="4" t="s">
        <v>6968</v>
      </c>
      <c r="J2235" s="4" t="s">
        <v>7106</v>
      </c>
      <c r="K2235" s="4" t="s">
        <v>7106</v>
      </c>
      <c r="L2235" s="5">
        <v>30015</v>
      </c>
    </row>
    <row r="2236" spans="1:12" x14ac:dyDescent="0.25">
      <c r="A2236" s="3" t="s">
        <v>6964</v>
      </c>
      <c r="B2236" s="4" t="s">
        <v>6965</v>
      </c>
      <c r="C2236" s="4" t="s">
        <v>14</v>
      </c>
      <c r="D2236" s="4" t="s">
        <v>15</v>
      </c>
      <c r="E2236" s="5" t="str">
        <f>"9010383"</f>
        <v>9010383</v>
      </c>
      <c r="F2236" s="3" t="s">
        <v>7107</v>
      </c>
      <c r="G2236" s="5">
        <v>2631022122</v>
      </c>
      <c r="H2236" s="4" t="s">
        <v>7108</v>
      </c>
      <c r="I2236" s="4" t="s">
        <v>6972</v>
      </c>
      <c r="J2236" s="4" t="s">
        <v>7057</v>
      </c>
      <c r="K2236" s="4" t="s">
        <v>7109</v>
      </c>
      <c r="L2236" s="5">
        <v>30200</v>
      </c>
    </row>
    <row r="2237" spans="1:12" x14ac:dyDescent="0.25">
      <c r="A2237" s="3" t="s">
        <v>6964</v>
      </c>
      <c r="B2237" s="4" t="s">
        <v>6965</v>
      </c>
      <c r="C2237" s="4" t="s">
        <v>14</v>
      </c>
      <c r="D2237" s="4" t="s">
        <v>15</v>
      </c>
      <c r="E2237" s="5" t="str">
        <f>"9010608"</f>
        <v>9010608</v>
      </c>
      <c r="F2237" s="3" t="s">
        <v>7110</v>
      </c>
      <c r="G2237" s="5">
        <v>2632091377</v>
      </c>
      <c r="H2237" s="4" t="s">
        <v>7111</v>
      </c>
      <c r="I2237" s="4" t="s">
        <v>6972</v>
      </c>
      <c r="J2237" s="4" t="s">
        <v>7112</v>
      </c>
      <c r="K2237" s="4" t="s">
        <v>7112</v>
      </c>
      <c r="L2237" s="5">
        <v>30001</v>
      </c>
    </row>
    <row r="2238" spans="1:12" x14ac:dyDescent="0.25">
      <c r="A2238" s="3" t="s">
        <v>6964</v>
      </c>
      <c r="B2238" s="4" t="s">
        <v>6965</v>
      </c>
      <c r="C2238" s="4" t="s">
        <v>25</v>
      </c>
      <c r="D2238" s="4" t="s">
        <v>26</v>
      </c>
      <c r="E2238" s="5" t="str">
        <f>"9010263"</f>
        <v>9010263</v>
      </c>
      <c r="F2238" s="3" t="s">
        <v>7113</v>
      </c>
      <c r="G2238" s="5">
        <v>2632092598</v>
      </c>
      <c r="H2238" s="4" t="s">
        <v>7114</v>
      </c>
      <c r="I2238" s="4" t="s">
        <v>6972</v>
      </c>
      <c r="J2238" s="4" t="s">
        <v>7115</v>
      </c>
      <c r="K2238" s="4" t="s">
        <v>7116</v>
      </c>
      <c r="L2238" s="5">
        <v>30007</v>
      </c>
    </row>
    <row r="2239" spans="1:12" x14ac:dyDescent="0.25">
      <c r="A2239" s="3" t="s">
        <v>6964</v>
      </c>
      <c r="B2239" s="4" t="s">
        <v>6965</v>
      </c>
      <c r="C2239" s="4" t="s">
        <v>25</v>
      </c>
      <c r="D2239" s="4" t="s">
        <v>26</v>
      </c>
      <c r="E2239" s="5" t="str">
        <f>"9010287"</f>
        <v>9010287</v>
      </c>
      <c r="F2239" s="3" t="s">
        <v>7117</v>
      </c>
      <c r="G2239" s="5">
        <v>2631025526</v>
      </c>
      <c r="H2239" s="4" t="s">
        <v>7118</v>
      </c>
      <c r="I2239" s="4" t="s">
        <v>6972</v>
      </c>
      <c r="J2239" s="4" t="s">
        <v>7119</v>
      </c>
      <c r="K2239" s="4" t="s">
        <v>7120</v>
      </c>
      <c r="L2239" s="5">
        <v>30200</v>
      </c>
    </row>
    <row r="2240" spans="1:12" x14ac:dyDescent="0.25">
      <c r="A2240" s="3" t="s">
        <v>6964</v>
      </c>
      <c r="B2240" s="4" t="s">
        <v>6965</v>
      </c>
      <c r="C2240" s="4" t="s">
        <v>25</v>
      </c>
      <c r="D2240" s="4" t="s">
        <v>26</v>
      </c>
      <c r="E2240" s="5" t="str">
        <f>"9010449"</f>
        <v>9010449</v>
      </c>
      <c r="F2240" s="3" t="s">
        <v>7121</v>
      </c>
      <c r="G2240" s="5">
        <v>2631051271</v>
      </c>
      <c r="H2240" s="4" t="s">
        <v>7122</v>
      </c>
      <c r="I2240" s="4" t="s">
        <v>6972</v>
      </c>
      <c r="J2240" s="4" t="s">
        <v>6973</v>
      </c>
      <c r="K2240" s="4" t="s">
        <v>7123</v>
      </c>
      <c r="L2240" s="5">
        <v>30200</v>
      </c>
    </row>
    <row r="2241" spans="1:12" x14ac:dyDescent="0.25">
      <c r="A2241" s="3" t="s">
        <v>6964</v>
      </c>
      <c r="B2241" s="4" t="s">
        <v>6965</v>
      </c>
      <c r="C2241" s="4" t="s">
        <v>25</v>
      </c>
      <c r="D2241" s="4" t="s">
        <v>26</v>
      </c>
      <c r="E2241" s="5" t="str">
        <f>"9010295"</f>
        <v>9010295</v>
      </c>
      <c r="F2241" s="3" t="s">
        <v>7124</v>
      </c>
      <c r="G2241" s="5">
        <v>2632091115</v>
      </c>
      <c r="H2241" s="4" t="s">
        <v>7125</v>
      </c>
      <c r="I2241" s="4" t="s">
        <v>6972</v>
      </c>
      <c r="J2241" s="4" t="s">
        <v>7126</v>
      </c>
      <c r="K2241" s="4" t="s">
        <v>7112</v>
      </c>
      <c r="L2241" s="5">
        <v>30001</v>
      </c>
    </row>
    <row r="2242" spans="1:12" x14ac:dyDescent="0.25">
      <c r="A2242" s="3" t="s">
        <v>6964</v>
      </c>
      <c r="B2242" s="4" t="s">
        <v>6965</v>
      </c>
      <c r="C2242" s="4" t="s">
        <v>14</v>
      </c>
      <c r="D2242" s="4" t="s">
        <v>15</v>
      </c>
      <c r="E2242" s="5" t="str">
        <f>"9010523"</f>
        <v>9010523</v>
      </c>
      <c r="F2242" s="3" t="s">
        <v>7127</v>
      </c>
      <c r="G2242" s="5">
        <v>2641361677</v>
      </c>
      <c r="H2242" s="4" t="s">
        <v>7128</v>
      </c>
      <c r="I2242" s="4" t="s">
        <v>6968</v>
      </c>
      <c r="J2242" s="4" t="s">
        <v>7030</v>
      </c>
      <c r="K2242" s="4" t="s">
        <v>7129</v>
      </c>
      <c r="L2242" s="5">
        <v>30100</v>
      </c>
    </row>
    <row r="2243" spans="1:12" x14ac:dyDescent="0.25">
      <c r="A2243" s="3" t="s">
        <v>6964</v>
      </c>
      <c r="B2243" s="4" t="s">
        <v>6965</v>
      </c>
      <c r="C2243" s="4" t="s">
        <v>25</v>
      </c>
      <c r="D2243" s="4" t="s">
        <v>26</v>
      </c>
      <c r="E2243" s="5" t="str">
        <f>"9010279"</f>
        <v>9010279</v>
      </c>
      <c r="F2243" s="3" t="s">
        <v>7130</v>
      </c>
      <c r="G2243" s="5">
        <v>2632023531</v>
      </c>
      <c r="H2243" s="4" t="s">
        <v>7131</v>
      </c>
      <c r="I2243" s="4" t="s">
        <v>6972</v>
      </c>
      <c r="J2243" s="4" t="s">
        <v>7132</v>
      </c>
      <c r="K2243" s="4" t="s">
        <v>7133</v>
      </c>
      <c r="L2243" s="5">
        <v>30400</v>
      </c>
    </row>
    <row r="2244" spans="1:12" x14ac:dyDescent="0.25">
      <c r="A2244" s="3" t="s">
        <v>6964</v>
      </c>
      <c r="B2244" s="4" t="s">
        <v>6965</v>
      </c>
      <c r="C2244" s="4" t="s">
        <v>14</v>
      </c>
      <c r="D2244" s="4" t="s">
        <v>15</v>
      </c>
      <c r="E2244" s="5" t="str">
        <f>"9010011"</f>
        <v>9010011</v>
      </c>
      <c r="F2244" s="3" t="s">
        <v>7134</v>
      </c>
      <c r="G2244" s="5">
        <v>2641023055</v>
      </c>
      <c r="H2244" s="4" t="s">
        <v>7135</v>
      </c>
      <c r="I2244" s="4" t="s">
        <v>6968</v>
      </c>
      <c r="J2244" s="4" t="s">
        <v>7008</v>
      </c>
      <c r="K2244" s="4" t="s">
        <v>7136</v>
      </c>
      <c r="L2244" s="5">
        <v>30133</v>
      </c>
    </row>
    <row r="2245" spans="1:12" x14ac:dyDescent="0.25">
      <c r="A2245" s="3" t="s">
        <v>6964</v>
      </c>
      <c r="B2245" s="4" t="s">
        <v>6965</v>
      </c>
      <c r="C2245" s="4" t="s">
        <v>14</v>
      </c>
      <c r="D2245" s="4" t="s">
        <v>15</v>
      </c>
      <c r="E2245" s="5" t="str">
        <f>"9010008"</f>
        <v>9010008</v>
      </c>
      <c r="F2245" s="3" t="s">
        <v>7137</v>
      </c>
      <c r="G2245" s="5">
        <v>2641022733</v>
      </c>
      <c r="H2245" s="4" t="s">
        <v>7138</v>
      </c>
      <c r="I2245" s="4" t="s">
        <v>6968</v>
      </c>
      <c r="J2245" s="4" t="s">
        <v>7030</v>
      </c>
      <c r="K2245" s="4" t="s">
        <v>7061</v>
      </c>
      <c r="L2245" s="5">
        <v>30132</v>
      </c>
    </row>
    <row r="2246" spans="1:12" x14ac:dyDescent="0.25">
      <c r="A2246" s="3" t="s">
        <v>6964</v>
      </c>
      <c r="B2246" s="4" t="s">
        <v>6965</v>
      </c>
      <c r="C2246" s="4" t="s">
        <v>14</v>
      </c>
      <c r="D2246" s="4" t="s">
        <v>15</v>
      </c>
      <c r="E2246" s="5" t="str">
        <f>"9010280"</f>
        <v>9010280</v>
      </c>
      <c r="F2246" s="3" t="s">
        <v>7139</v>
      </c>
      <c r="G2246" s="5">
        <v>2632022442</v>
      </c>
      <c r="H2246" s="4" t="s">
        <v>7140</v>
      </c>
      <c r="I2246" s="4" t="s">
        <v>6972</v>
      </c>
      <c r="J2246" s="4" t="s">
        <v>7084</v>
      </c>
      <c r="K2246" s="4" t="s">
        <v>7141</v>
      </c>
      <c r="L2246" s="5">
        <v>30400</v>
      </c>
    </row>
    <row r="2247" spans="1:12" x14ac:dyDescent="0.25">
      <c r="A2247" s="3" t="s">
        <v>6964</v>
      </c>
      <c r="B2247" s="4" t="s">
        <v>6965</v>
      </c>
      <c r="C2247" s="4" t="s">
        <v>25</v>
      </c>
      <c r="D2247" s="4" t="s">
        <v>26</v>
      </c>
      <c r="E2247" s="5" t="str">
        <f>"9010517"</f>
        <v>9010517</v>
      </c>
      <c r="F2247" s="3" t="s">
        <v>7142</v>
      </c>
      <c r="G2247" s="5">
        <v>2643360410</v>
      </c>
      <c r="H2247" s="4" t="s">
        <v>7143</v>
      </c>
      <c r="I2247" s="4" t="s">
        <v>6977</v>
      </c>
      <c r="J2247" s="4" t="s">
        <v>7144</v>
      </c>
      <c r="K2247" s="4" t="s">
        <v>7145</v>
      </c>
      <c r="L2247" s="5">
        <v>30002</v>
      </c>
    </row>
    <row r="2248" spans="1:12" x14ac:dyDescent="0.25">
      <c r="A2248" s="3" t="s">
        <v>6964</v>
      </c>
      <c r="B2248" s="4" t="s">
        <v>6965</v>
      </c>
      <c r="C2248" s="4" t="s">
        <v>25</v>
      </c>
      <c r="D2248" s="4" t="s">
        <v>26</v>
      </c>
      <c r="E2248" s="5" t="str">
        <f>"9010551"</f>
        <v>9010551</v>
      </c>
      <c r="F2248" s="3" t="s">
        <v>7146</v>
      </c>
      <c r="G2248" s="5">
        <v>2631023913</v>
      </c>
      <c r="H2248" s="4" t="s">
        <v>7147</v>
      </c>
      <c r="I2248" s="4" t="s">
        <v>6972</v>
      </c>
      <c r="J2248" s="4" t="s">
        <v>7119</v>
      </c>
      <c r="K2248" s="4" t="s">
        <v>7148</v>
      </c>
      <c r="L2248" s="5">
        <v>30200</v>
      </c>
    </row>
    <row r="2249" spans="1:12" x14ac:dyDescent="0.25">
      <c r="A2249" s="3" t="s">
        <v>6964</v>
      </c>
      <c r="B2249" s="4" t="s">
        <v>6965</v>
      </c>
      <c r="C2249" s="4" t="s">
        <v>25</v>
      </c>
      <c r="D2249" s="4" t="s">
        <v>26</v>
      </c>
      <c r="E2249" s="5" t="str">
        <f>"9010465"</f>
        <v>9010465</v>
      </c>
      <c r="F2249" s="3" t="s">
        <v>7149</v>
      </c>
      <c r="G2249" s="5">
        <v>2631025150</v>
      </c>
      <c r="H2249" s="4" t="s">
        <v>7150</v>
      </c>
      <c r="I2249" s="4" t="s">
        <v>6972</v>
      </c>
      <c r="J2249" s="4" t="s">
        <v>7119</v>
      </c>
      <c r="K2249" s="4" t="s">
        <v>7151</v>
      </c>
      <c r="L2249" s="5">
        <v>30200</v>
      </c>
    </row>
    <row r="2250" spans="1:12" x14ac:dyDescent="0.25">
      <c r="A2250" s="3" t="s">
        <v>6964</v>
      </c>
      <c r="B2250" s="4" t="s">
        <v>6965</v>
      </c>
      <c r="C2250" s="4" t="s">
        <v>14</v>
      </c>
      <c r="D2250" s="4" t="s">
        <v>15</v>
      </c>
      <c r="E2250" s="5" t="str">
        <f>"9010605"</f>
        <v>9010605</v>
      </c>
      <c r="F2250" s="3" t="s">
        <v>7152</v>
      </c>
      <c r="G2250" s="5">
        <v>2641027394</v>
      </c>
      <c r="H2250" s="4" t="s">
        <v>7153</v>
      </c>
      <c r="I2250" s="4" t="s">
        <v>6968</v>
      </c>
      <c r="J2250" s="4" t="s">
        <v>7008</v>
      </c>
      <c r="K2250" s="4" t="s">
        <v>7154</v>
      </c>
      <c r="L2250" s="5">
        <v>30132</v>
      </c>
    </row>
    <row r="2251" spans="1:12" x14ac:dyDescent="0.25">
      <c r="A2251" s="3" t="s">
        <v>6964</v>
      </c>
      <c r="B2251" s="4" t="s">
        <v>6965</v>
      </c>
      <c r="C2251" s="4" t="s">
        <v>14</v>
      </c>
      <c r="D2251" s="4" t="s">
        <v>15</v>
      </c>
      <c r="E2251" s="5" t="str">
        <f>"9010406"</f>
        <v>9010406</v>
      </c>
      <c r="F2251" s="3" t="s">
        <v>7155</v>
      </c>
      <c r="G2251" s="5">
        <v>2631039621</v>
      </c>
      <c r="H2251" s="4" t="s">
        <v>7156</v>
      </c>
      <c r="I2251" s="4" t="s">
        <v>6972</v>
      </c>
      <c r="J2251" s="4" t="s">
        <v>7157</v>
      </c>
      <c r="K2251" s="4" t="s">
        <v>7157</v>
      </c>
      <c r="L2251" s="5">
        <v>30014</v>
      </c>
    </row>
    <row r="2252" spans="1:12" x14ac:dyDescent="0.25">
      <c r="A2252" s="3" t="s">
        <v>6964</v>
      </c>
      <c r="B2252" s="4" t="s">
        <v>6965</v>
      </c>
      <c r="C2252" s="4" t="s">
        <v>14</v>
      </c>
      <c r="D2252" s="4" t="s">
        <v>15</v>
      </c>
      <c r="E2252" s="5" t="str">
        <f>"9010094"</f>
        <v>9010094</v>
      </c>
      <c r="F2252" s="3" t="s">
        <v>7158</v>
      </c>
      <c r="G2252" s="5">
        <v>2641022034</v>
      </c>
      <c r="H2252" s="4" t="s">
        <v>7159</v>
      </c>
      <c r="I2252" s="4" t="s">
        <v>6968</v>
      </c>
      <c r="J2252" s="4" t="s">
        <v>6968</v>
      </c>
      <c r="K2252" s="4" t="s">
        <v>7160</v>
      </c>
      <c r="L2252" s="5">
        <v>30131</v>
      </c>
    </row>
    <row r="2253" spans="1:12" x14ac:dyDescent="0.25">
      <c r="A2253" s="3" t="s">
        <v>6964</v>
      </c>
      <c r="B2253" s="4" t="s">
        <v>6965</v>
      </c>
      <c r="C2253" s="4" t="s">
        <v>25</v>
      </c>
      <c r="D2253" s="4" t="s">
        <v>26</v>
      </c>
      <c r="E2253" s="5" t="str">
        <f>"9010148"</f>
        <v>9010148</v>
      </c>
      <c r="F2253" s="3" t="s">
        <v>7161</v>
      </c>
      <c r="G2253" s="5">
        <v>2642022388</v>
      </c>
      <c r="H2253" s="4" t="s">
        <v>7162</v>
      </c>
      <c r="I2253" s="4" t="s">
        <v>7073</v>
      </c>
      <c r="J2253" s="4" t="s">
        <v>7163</v>
      </c>
      <c r="K2253" s="4" t="s">
        <v>7164</v>
      </c>
      <c r="L2253" s="5">
        <v>30500</v>
      </c>
    </row>
    <row r="2254" spans="1:12" x14ac:dyDescent="0.25">
      <c r="A2254" s="3" t="s">
        <v>6964</v>
      </c>
      <c r="B2254" s="4" t="s">
        <v>6965</v>
      </c>
      <c r="C2254" s="4" t="s">
        <v>14</v>
      </c>
      <c r="D2254" s="4" t="s">
        <v>15</v>
      </c>
      <c r="E2254" s="5" t="str">
        <f>"9010593"</f>
        <v>9010593</v>
      </c>
      <c r="F2254" s="3" t="s">
        <v>7165</v>
      </c>
      <c r="G2254" s="5">
        <v>2641361696</v>
      </c>
      <c r="H2254" s="4" t="s">
        <v>7166</v>
      </c>
      <c r="I2254" s="4" t="s">
        <v>6968</v>
      </c>
      <c r="J2254" s="4" t="s">
        <v>7030</v>
      </c>
      <c r="K2254" s="4" t="s">
        <v>7167</v>
      </c>
      <c r="L2254" s="5">
        <v>30132</v>
      </c>
    </row>
    <row r="2255" spans="1:12" x14ac:dyDescent="0.25">
      <c r="A2255" s="3" t="s">
        <v>6964</v>
      </c>
      <c r="B2255" s="4" t="s">
        <v>6965</v>
      </c>
      <c r="C2255" s="4" t="s">
        <v>25</v>
      </c>
      <c r="D2255" s="4" t="s">
        <v>26</v>
      </c>
      <c r="E2255" s="5" t="str">
        <f>"9010579"</f>
        <v>9010579</v>
      </c>
      <c r="F2255" s="3" t="s">
        <v>7168</v>
      </c>
      <c r="G2255" s="5">
        <v>2632023496</v>
      </c>
      <c r="H2255" s="4" t="s">
        <v>7169</v>
      </c>
      <c r="I2255" s="4" t="s">
        <v>6972</v>
      </c>
      <c r="J2255" s="4" t="s">
        <v>7132</v>
      </c>
      <c r="K2255" s="4" t="s">
        <v>7170</v>
      </c>
      <c r="L2255" s="5">
        <v>30400</v>
      </c>
    </row>
    <row r="2256" spans="1:12" x14ac:dyDescent="0.25">
      <c r="A2256" s="3" t="s">
        <v>6964</v>
      </c>
      <c r="B2256" s="4" t="s">
        <v>6965</v>
      </c>
      <c r="C2256" s="4" t="s">
        <v>25</v>
      </c>
      <c r="D2256" s="4" t="s">
        <v>26</v>
      </c>
      <c r="E2256" s="5" t="str">
        <f>"9010382"</f>
        <v>9010382</v>
      </c>
      <c r="F2256" s="3" t="s">
        <v>7171</v>
      </c>
      <c r="G2256" s="5">
        <v>2631025290</v>
      </c>
      <c r="H2256" s="4" t="s">
        <v>7172</v>
      </c>
      <c r="I2256" s="4" t="s">
        <v>6972</v>
      </c>
      <c r="J2256" s="4" t="s">
        <v>7119</v>
      </c>
      <c r="K2256" s="4" t="s">
        <v>7173</v>
      </c>
      <c r="L2256" s="5">
        <v>30200</v>
      </c>
    </row>
    <row r="2257" spans="1:12" x14ac:dyDescent="0.25">
      <c r="A2257" s="3" t="s">
        <v>6964</v>
      </c>
      <c r="B2257" s="4" t="s">
        <v>6965</v>
      </c>
      <c r="C2257" s="4" t="s">
        <v>25</v>
      </c>
      <c r="D2257" s="4" t="s">
        <v>26</v>
      </c>
      <c r="E2257" s="5" t="str">
        <f>"9010539"</f>
        <v>9010539</v>
      </c>
      <c r="F2257" s="3" t="s">
        <v>7174</v>
      </c>
      <c r="G2257" s="5">
        <v>2641031042</v>
      </c>
      <c r="H2257" s="4" t="s">
        <v>7175</v>
      </c>
      <c r="I2257" s="4" t="s">
        <v>6968</v>
      </c>
      <c r="J2257" s="4" t="s">
        <v>7176</v>
      </c>
      <c r="K2257" s="4" t="s">
        <v>7177</v>
      </c>
      <c r="L2257" s="5">
        <v>30100</v>
      </c>
    </row>
    <row r="2258" spans="1:12" x14ac:dyDescent="0.25">
      <c r="A2258" s="3" t="s">
        <v>6964</v>
      </c>
      <c r="B2258" s="4" t="s">
        <v>6965</v>
      </c>
      <c r="C2258" s="4" t="s">
        <v>14</v>
      </c>
      <c r="D2258" s="4" t="s">
        <v>15</v>
      </c>
      <c r="E2258" s="5" t="str">
        <f>"9010113"</f>
        <v>9010113</v>
      </c>
      <c r="F2258" s="3" t="s">
        <v>7178</v>
      </c>
      <c r="G2258" s="5">
        <v>2641021270</v>
      </c>
      <c r="H2258" s="4" t="s">
        <v>7179</v>
      </c>
      <c r="I2258" s="4" t="s">
        <v>6968</v>
      </c>
      <c r="J2258" s="4" t="s">
        <v>7180</v>
      </c>
      <c r="K2258" s="4" t="s">
        <v>7181</v>
      </c>
      <c r="L2258" s="5">
        <v>30100</v>
      </c>
    </row>
    <row r="2259" spans="1:12" x14ac:dyDescent="0.25">
      <c r="A2259" s="3" t="s">
        <v>6964</v>
      </c>
      <c r="B2259" s="4" t="s">
        <v>6965</v>
      </c>
      <c r="C2259" s="4" t="s">
        <v>14</v>
      </c>
      <c r="D2259" s="4" t="s">
        <v>15</v>
      </c>
      <c r="E2259" s="5" t="str">
        <f>"9010307"</f>
        <v>9010307</v>
      </c>
      <c r="F2259" s="3" t="s">
        <v>7182</v>
      </c>
      <c r="G2259" s="5">
        <v>2634023225</v>
      </c>
      <c r="H2259" s="4" t="s">
        <v>7183</v>
      </c>
      <c r="I2259" s="4" t="s">
        <v>7184</v>
      </c>
      <c r="J2259" s="4" t="s">
        <v>7185</v>
      </c>
      <c r="K2259" s="4" t="s">
        <v>7186</v>
      </c>
      <c r="L2259" s="5">
        <v>30300</v>
      </c>
    </row>
    <row r="2260" spans="1:12" x14ac:dyDescent="0.25">
      <c r="A2260" s="3" t="s">
        <v>6964</v>
      </c>
      <c r="B2260" s="4" t="s">
        <v>6965</v>
      </c>
      <c r="C2260" s="4" t="s">
        <v>14</v>
      </c>
      <c r="D2260" s="4" t="s">
        <v>15</v>
      </c>
      <c r="E2260" s="5" t="str">
        <f>"9010273"</f>
        <v>9010273</v>
      </c>
      <c r="F2260" s="3" t="s">
        <v>7187</v>
      </c>
      <c r="G2260" s="5">
        <v>2632031224</v>
      </c>
      <c r="H2260" s="4" t="s">
        <v>7188</v>
      </c>
      <c r="I2260" s="4" t="s">
        <v>6972</v>
      </c>
      <c r="J2260" s="4" t="s">
        <v>7189</v>
      </c>
      <c r="K2260" s="4" t="s">
        <v>7190</v>
      </c>
      <c r="L2260" s="5">
        <v>30001</v>
      </c>
    </row>
    <row r="2261" spans="1:12" x14ac:dyDescent="0.25">
      <c r="A2261" s="3" t="s">
        <v>6964</v>
      </c>
      <c r="B2261" s="4" t="s">
        <v>6965</v>
      </c>
      <c r="C2261" s="4" t="s">
        <v>14</v>
      </c>
      <c r="D2261" s="4" t="s">
        <v>15</v>
      </c>
      <c r="E2261" s="5" t="str">
        <f>"9010057"</f>
        <v>9010057</v>
      </c>
      <c r="F2261" s="3" t="s">
        <v>7191</v>
      </c>
      <c r="G2261" s="5">
        <v>2641061240</v>
      </c>
      <c r="H2261" s="4" t="s">
        <v>7192</v>
      </c>
      <c r="I2261" s="4" t="s">
        <v>6968</v>
      </c>
      <c r="J2261" s="4" t="s">
        <v>7193</v>
      </c>
      <c r="K2261" s="4" t="s">
        <v>7193</v>
      </c>
      <c r="L2261" s="5">
        <v>30010</v>
      </c>
    </row>
    <row r="2262" spans="1:12" x14ac:dyDescent="0.25">
      <c r="A2262" s="3" t="s">
        <v>6964</v>
      </c>
      <c r="B2262" s="4" t="s">
        <v>6965</v>
      </c>
      <c r="C2262" s="4" t="s">
        <v>25</v>
      </c>
      <c r="D2262" s="4" t="s">
        <v>26</v>
      </c>
      <c r="E2262" s="5" t="str">
        <f>"9010303"</f>
        <v>9010303</v>
      </c>
      <c r="F2262" s="3" t="s">
        <v>7194</v>
      </c>
      <c r="G2262" s="5">
        <v>2634024926</v>
      </c>
      <c r="H2262" s="4" t="s">
        <v>7195</v>
      </c>
      <c r="I2262" s="4" t="s">
        <v>7184</v>
      </c>
      <c r="J2262" s="4" t="s">
        <v>7196</v>
      </c>
      <c r="K2262" s="4" t="s">
        <v>7197</v>
      </c>
      <c r="L2262" s="5">
        <v>30300</v>
      </c>
    </row>
    <row r="2263" spans="1:12" x14ac:dyDescent="0.25">
      <c r="A2263" s="3" t="s">
        <v>6964</v>
      </c>
      <c r="B2263" s="4" t="s">
        <v>6965</v>
      </c>
      <c r="C2263" s="4" t="s">
        <v>14</v>
      </c>
      <c r="D2263" s="4" t="s">
        <v>15</v>
      </c>
      <c r="E2263" s="5" t="str">
        <f>"9010297"</f>
        <v>9010297</v>
      </c>
      <c r="F2263" s="3" t="s">
        <v>7198</v>
      </c>
      <c r="G2263" s="5">
        <v>2632093731</v>
      </c>
      <c r="H2263" s="4" t="s">
        <v>7199</v>
      </c>
      <c r="I2263" s="4" t="s">
        <v>6972</v>
      </c>
      <c r="J2263" s="4" t="s">
        <v>6928</v>
      </c>
      <c r="K2263" s="4" t="s">
        <v>7112</v>
      </c>
      <c r="L2263" s="5">
        <v>30001</v>
      </c>
    </row>
    <row r="2264" spans="1:12" x14ac:dyDescent="0.25">
      <c r="A2264" s="3" t="s">
        <v>6964</v>
      </c>
      <c r="B2264" s="4" t="s">
        <v>6965</v>
      </c>
      <c r="C2264" s="4" t="s">
        <v>25</v>
      </c>
      <c r="D2264" s="4" t="s">
        <v>26</v>
      </c>
      <c r="E2264" s="5" t="str">
        <f>"9010221"</f>
        <v>9010221</v>
      </c>
      <c r="F2264" s="3" t="s">
        <v>7200</v>
      </c>
      <c r="G2264" s="5">
        <v>2643023916</v>
      </c>
      <c r="H2264" s="4" t="s">
        <v>7201</v>
      </c>
      <c r="I2264" s="4" t="s">
        <v>6977</v>
      </c>
      <c r="J2264" s="4" t="s">
        <v>7144</v>
      </c>
      <c r="K2264" s="4" t="s">
        <v>7202</v>
      </c>
      <c r="L2264" s="5">
        <v>30002</v>
      </c>
    </row>
    <row r="2265" spans="1:12" x14ac:dyDescent="0.25">
      <c r="A2265" s="3" t="s">
        <v>6964</v>
      </c>
      <c r="B2265" s="4" t="s">
        <v>6965</v>
      </c>
      <c r="C2265" s="4" t="s">
        <v>14</v>
      </c>
      <c r="D2265" s="4" t="s">
        <v>15</v>
      </c>
      <c r="E2265" s="5" t="str">
        <f>"9010025"</f>
        <v>9010025</v>
      </c>
      <c r="F2265" s="3" t="s">
        <v>7203</v>
      </c>
      <c r="G2265" s="5">
        <v>2641023868</v>
      </c>
      <c r="H2265" s="4" t="s">
        <v>7204</v>
      </c>
      <c r="I2265" s="4" t="s">
        <v>6968</v>
      </c>
      <c r="J2265" s="4" t="s">
        <v>7030</v>
      </c>
      <c r="K2265" s="4" t="s">
        <v>7205</v>
      </c>
      <c r="L2265" s="5">
        <v>30131</v>
      </c>
    </row>
    <row r="2266" spans="1:12" x14ac:dyDescent="0.25">
      <c r="A2266" s="3" t="s">
        <v>6964</v>
      </c>
      <c r="B2266" s="4" t="s">
        <v>6965</v>
      </c>
      <c r="C2266" s="4" t="s">
        <v>14</v>
      </c>
      <c r="D2266" s="4" t="s">
        <v>15</v>
      </c>
      <c r="E2266" s="5" t="str">
        <f>"9010264"</f>
        <v>9010264</v>
      </c>
      <c r="F2266" s="3" t="s">
        <v>7206</v>
      </c>
      <c r="G2266" s="5">
        <v>2632091347</v>
      </c>
      <c r="H2266" s="4" t="s">
        <v>7207</v>
      </c>
      <c r="I2266" s="4" t="s">
        <v>6972</v>
      </c>
      <c r="J2266" s="4"/>
      <c r="K2266" s="4" t="s">
        <v>7208</v>
      </c>
      <c r="L2266" s="5">
        <v>30007</v>
      </c>
    </row>
    <row r="2267" spans="1:12" x14ac:dyDescent="0.25">
      <c r="A2267" s="3" t="s">
        <v>6964</v>
      </c>
      <c r="B2267" s="4" t="s">
        <v>6965</v>
      </c>
      <c r="C2267" s="4" t="s">
        <v>25</v>
      </c>
      <c r="D2267" s="4" t="s">
        <v>26</v>
      </c>
      <c r="E2267" s="5" t="str">
        <f>"9010522"</f>
        <v>9010522</v>
      </c>
      <c r="F2267" s="3" t="s">
        <v>7209</v>
      </c>
      <c r="G2267" s="5">
        <v>2634350135</v>
      </c>
      <c r="H2267" s="4" t="s">
        <v>7210</v>
      </c>
      <c r="I2267" s="4" t="s">
        <v>7184</v>
      </c>
      <c r="J2267" s="4" t="s">
        <v>7211</v>
      </c>
      <c r="K2267" s="4" t="s">
        <v>7212</v>
      </c>
      <c r="L2267" s="5">
        <v>30020</v>
      </c>
    </row>
    <row r="2268" spans="1:12" x14ac:dyDescent="0.25">
      <c r="A2268" s="3" t="s">
        <v>6964</v>
      </c>
      <c r="B2268" s="4" t="s">
        <v>6965</v>
      </c>
      <c r="C2268" s="4" t="s">
        <v>25</v>
      </c>
      <c r="D2268" s="4" t="s">
        <v>26</v>
      </c>
      <c r="E2268" s="5" t="str">
        <f>"9010549"</f>
        <v>9010549</v>
      </c>
      <c r="F2268" s="3" t="s">
        <v>7213</v>
      </c>
      <c r="G2268" s="5">
        <v>2634029200</v>
      </c>
      <c r="H2268" s="4" t="s">
        <v>7214</v>
      </c>
      <c r="I2268" s="4" t="s">
        <v>7184</v>
      </c>
      <c r="J2268" s="4" t="s">
        <v>7196</v>
      </c>
      <c r="K2268" s="4" t="s">
        <v>7215</v>
      </c>
      <c r="L2268" s="5">
        <v>30300</v>
      </c>
    </row>
    <row r="2269" spans="1:12" x14ac:dyDescent="0.25">
      <c r="A2269" s="3" t="s">
        <v>6964</v>
      </c>
      <c r="B2269" s="4" t="s">
        <v>6965</v>
      </c>
      <c r="C2269" s="4" t="s">
        <v>25</v>
      </c>
      <c r="D2269" s="4" t="s">
        <v>26</v>
      </c>
      <c r="E2269" s="5" t="str">
        <f>"9010572"</f>
        <v>9010572</v>
      </c>
      <c r="F2269" s="3" t="s">
        <v>7216</v>
      </c>
      <c r="G2269" s="5">
        <v>2634022095</v>
      </c>
      <c r="H2269" s="4" t="s">
        <v>7217</v>
      </c>
      <c r="I2269" s="4" t="s">
        <v>7184</v>
      </c>
      <c r="J2269" s="4" t="s">
        <v>7196</v>
      </c>
      <c r="K2269" s="4" t="s">
        <v>7185</v>
      </c>
      <c r="L2269" s="5">
        <v>30300</v>
      </c>
    </row>
    <row r="2270" spans="1:12" x14ac:dyDescent="0.25">
      <c r="A2270" s="3" t="s">
        <v>6964</v>
      </c>
      <c r="B2270" s="4" t="s">
        <v>6965</v>
      </c>
      <c r="C2270" s="4" t="s">
        <v>25</v>
      </c>
      <c r="D2270" s="4" t="s">
        <v>26</v>
      </c>
      <c r="E2270" s="5" t="str">
        <f>"9010628"</f>
        <v>9010628</v>
      </c>
      <c r="F2270" s="3" t="s">
        <v>7218</v>
      </c>
      <c r="G2270" s="5">
        <v>2634029429</v>
      </c>
      <c r="H2270" s="4" t="s">
        <v>7219</v>
      </c>
      <c r="I2270" s="4" t="s">
        <v>7184</v>
      </c>
      <c r="J2270" s="4" t="s">
        <v>7196</v>
      </c>
      <c r="K2270" s="4" t="s">
        <v>7220</v>
      </c>
      <c r="L2270" s="5">
        <v>30300</v>
      </c>
    </row>
    <row r="2271" spans="1:12" x14ac:dyDescent="0.25">
      <c r="A2271" s="3" t="s">
        <v>6964</v>
      </c>
      <c r="B2271" s="4" t="s">
        <v>6965</v>
      </c>
      <c r="C2271" s="4" t="s">
        <v>25</v>
      </c>
      <c r="D2271" s="4" t="s">
        <v>26</v>
      </c>
      <c r="E2271" s="5" t="str">
        <f>"9010456"</f>
        <v>9010456</v>
      </c>
      <c r="F2271" s="3" t="s">
        <v>7221</v>
      </c>
      <c r="G2271" s="5">
        <v>2641307433</v>
      </c>
      <c r="H2271" s="4" t="s">
        <v>7222</v>
      </c>
      <c r="I2271" s="4" t="s">
        <v>6968</v>
      </c>
      <c r="J2271" s="4" t="s">
        <v>7223</v>
      </c>
      <c r="K2271" s="4" t="s">
        <v>7224</v>
      </c>
      <c r="L2271" s="5">
        <v>30027</v>
      </c>
    </row>
    <row r="2272" spans="1:12" x14ac:dyDescent="0.25">
      <c r="A2272" s="3" t="s">
        <v>6964</v>
      </c>
      <c r="B2272" s="4" t="s">
        <v>6965</v>
      </c>
      <c r="C2272" s="4" t="s">
        <v>14</v>
      </c>
      <c r="D2272" s="4" t="s">
        <v>15</v>
      </c>
      <c r="E2272" s="5" t="str">
        <f>"9010606"</f>
        <v>9010606</v>
      </c>
      <c r="F2272" s="3" t="s">
        <v>7225</v>
      </c>
      <c r="G2272" s="5">
        <v>2641020792</v>
      </c>
      <c r="H2272" s="4" t="s">
        <v>7226</v>
      </c>
      <c r="I2272" s="4" t="s">
        <v>6968</v>
      </c>
      <c r="J2272" s="4" t="s">
        <v>7008</v>
      </c>
      <c r="K2272" s="4" t="s">
        <v>7227</v>
      </c>
      <c r="L2272" s="5">
        <v>30100</v>
      </c>
    </row>
    <row r="2273" spans="1:12" x14ac:dyDescent="0.25">
      <c r="A2273" s="3" t="s">
        <v>6964</v>
      </c>
      <c r="B2273" s="4" t="s">
        <v>6965</v>
      </c>
      <c r="C2273" s="4" t="s">
        <v>14</v>
      </c>
      <c r="D2273" s="4" t="s">
        <v>15</v>
      </c>
      <c r="E2273" s="5" t="str">
        <f>"9010352"</f>
        <v>9010352</v>
      </c>
      <c r="F2273" s="3" t="s">
        <v>7228</v>
      </c>
      <c r="G2273" s="5">
        <v>2634023598</v>
      </c>
      <c r="H2273" s="4" t="s">
        <v>7229</v>
      </c>
      <c r="I2273" s="4" t="s">
        <v>7184</v>
      </c>
      <c r="J2273" s="4" t="s">
        <v>7230</v>
      </c>
      <c r="K2273" s="4" t="s">
        <v>7230</v>
      </c>
      <c r="L2273" s="5">
        <v>30300</v>
      </c>
    </row>
    <row r="2274" spans="1:12" x14ac:dyDescent="0.25">
      <c r="A2274" s="3" t="s">
        <v>6964</v>
      </c>
      <c r="B2274" s="4" t="s">
        <v>6965</v>
      </c>
      <c r="C2274" s="4" t="s">
        <v>14</v>
      </c>
      <c r="D2274" s="4" t="s">
        <v>15</v>
      </c>
      <c r="E2274" s="5" t="str">
        <f>"9010538"</f>
        <v>9010538</v>
      </c>
      <c r="F2274" s="3" t="s">
        <v>7231</v>
      </c>
      <c r="G2274" s="5">
        <v>2641029668</v>
      </c>
      <c r="H2274" s="4" t="s">
        <v>7232</v>
      </c>
      <c r="I2274" s="4" t="s">
        <v>6968</v>
      </c>
      <c r="J2274" s="4" t="s">
        <v>7030</v>
      </c>
      <c r="K2274" s="4" t="s">
        <v>7233</v>
      </c>
      <c r="L2274" s="5">
        <v>30131</v>
      </c>
    </row>
    <row r="2275" spans="1:12" x14ac:dyDescent="0.25">
      <c r="A2275" s="3" t="s">
        <v>6964</v>
      </c>
      <c r="B2275" s="4" t="s">
        <v>6965</v>
      </c>
      <c r="C2275" s="4" t="s">
        <v>14</v>
      </c>
      <c r="D2275" s="4" t="s">
        <v>15</v>
      </c>
      <c r="E2275" s="5" t="str">
        <f>"9010298"</f>
        <v>9010298</v>
      </c>
      <c r="F2275" s="3" t="s">
        <v>7234</v>
      </c>
      <c r="G2275" s="5">
        <v>2634027238</v>
      </c>
      <c r="H2275" s="4" t="s">
        <v>7235</v>
      </c>
      <c r="I2275" s="4" t="s">
        <v>7184</v>
      </c>
      <c r="J2275" s="4" t="s">
        <v>7185</v>
      </c>
      <c r="K2275" s="4" t="s">
        <v>7236</v>
      </c>
      <c r="L2275" s="5">
        <v>30300</v>
      </c>
    </row>
    <row r="2276" spans="1:12" x14ac:dyDescent="0.25">
      <c r="A2276" s="3" t="s">
        <v>6964</v>
      </c>
      <c r="B2276" s="4" t="s">
        <v>6965</v>
      </c>
      <c r="C2276" s="4" t="s">
        <v>14</v>
      </c>
      <c r="D2276" s="4" t="s">
        <v>15</v>
      </c>
      <c r="E2276" s="5" t="str">
        <f>"9010290"</f>
        <v>9010290</v>
      </c>
      <c r="F2276" s="3" t="s">
        <v>7237</v>
      </c>
      <c r="G2276" s="5">
        <v>2631022787</v>
      </c>
      <c r="H2276" s="4" t="s">
        <v>7238</v>
      </c>
      <c r="I2276" s="4" t="s">
        <v>6972</v>
      </c>
      <c r="J2276" s="4" t="s">
        <v>7239</v>
      </c>
      <c r="K2276" s="4" t="s">
        <v>7123</v>
      </c>
      <c r="L2276" s="5">
        <v>30200</v>
      </c>
    </row>
    <row r="2277" spans="1:12" ht="30" x14ac:dyDescent="0.25">
      <c r="A2277" s="3" t="s">
        <v>6964</v>
      </c>
      <c r="B2277" s="4" t="s">
        <v>6965</v>
      </c>
      <c r="C2277" s="4" t="s">
        <v>14</v>
      </c>
      <c r="D2277" s="4" t="s">
        <v>15</v>
      </c>
      <c r="E2277" s="5" t="str">
        <f>"9520883"</f>
        <v>9520883</v>
      </c>
      <c r="F2277" s="3" t="s">
        <v>7240</v>
      </c>
      <c r="G2277" s="5">
        <v>2634029829</v>
      </c>
      <c r="H2277" s="4" t="s">
        <v>7241</v>
      </c>
      <c r="I2277" s="4" t="s">
        <v>7184</v>
      </c>
      <c r="J2277" s="4" t="s">
        <v>7185</v>
      </c>
      <c r="K2277" s="4" t="s">
        <v>7242</v>
      </c>
      <c r="L2277" s="5">
        <v>30300</v>
      </c>
    </row>
    <row r="2278" spans="1:12" x14ac:dyDescent="0.25">
      <c r="A2278" s="3" t="s">
        <v>6964</v>
      </c>
      <c r="B2278" s="4" t="s">
        <v>6965</v>
      </c>
      <c r="C2278" s="4" t="s">
        <v>14</v>
      </c>
      <c r="D2278" s="4" t="s">
        <v>15</v>
      </c>
      <c r="E2278" s="5" t="str">
        <f>"9010100"</f>
        <v>9010100</v>
      </c>
      <c r="F2278" s="3" t="s">
        <v>7243</v>
      </c>
      <c r="G2278" s="5">
        <v>2641022003</v>
      </c>
      <c r="H2278" s="4" t="s">
        <v>7244</v>
      </c>
      <c r="I2278" s="4" t="s">
        <v>6968</v>
      </c>
      <c r="J2278" s="4" t="s">
        <v>7008</v>
      </c>
      <c r="K2278" s="4" t="s">
        <v>7245</v>
      </c>
      <c r="L2278" s="5">
        <v>30100</v>
      </c>
    </row>
    <row r="2279" spans="1:12" x14ac:dyDescent="0.25">
      <c r="A2279" s="3" t="s">
        <v>6964</v>
      </c>
      <c r="B2279" s="4" t="s">
        <v>6965</v>
      </c>
      <c r="C2279" s="4" t="s">
        <v>14</v>
      </c>
      <c r="D2279" s="4" t="s">
        <v>15</v>
      </c>
      <c r="E2279" s="5" t="str">
        <f>"9010557"</f>
        <v>9010557</v>
      </c>
      <c r="F2279" s="3" t="s">
        <v>7246</v>
      </c>
      <c r="G2279" s="5">
        <v>2634023705</v>
      </c>
      <c r="H2279" s="4" t="s">
        <v>7247</v>
      </c>
      <c r="I2279" s="4" t="s">
        <v>7184</v>
      </c>
      <c r="J2279" s="4" t="s">
        <v>7248</v>
      </c>
      <c r="K2279" s="4" t="s">
        <v>7249</v>
      </c>
      <c r="L2279" s="5">
        <v>30300</v>
      </c>
    </row>
    <row r="2280" spans="1:12" x14ac:dyDescent="0.25">
      <c r="A2280" s="3" t="s">
        <v>6964</v>
      </c>
      <c r="B2280" s="4" t="s">
        <v>6965</v>
      </c>
      <c r="C2280" s="4" t="s">
        <v>25</v>
      </c>
      <c r="D2280" s="4" t="s">
        <v>26</v>
      </c>
      <c r="E2280" s="5" t="str">
        <f>"9010615"</f>
        <v>9010615</v>
      </c>
      <c r="F2280" s="3" t="s">
        <v>7250</v>
      </c>
      <c r="G2280" s="5">
        <v>2641055953</v>
      </c>
      <c r="H2280" s="4" t="s">
        <v>7251</v>
      </c>
      <c r="I2280" s="4" t="s">
        <v>6968</v>
      </c>
      <c r="J2280" s="4" t="s">
        <v>6968</v>
      </c>
      <c r="K2280" s="4" t="s">
        <v>7252</v>
      </c>
      <c r="L2280" s="5">
        <v>30100</v>
      </c>
    </row>
    <row r="2281" spans="1:12" x14ac:dyDescent="0.25">
      <c r="A2281" s="3" t="s">
        <v>6964</v>
      </c>
      <c r="B2281" s="4" t="s">
        <v>6965</v>
      </c>
      <c r="C2281" s="4" t="s">
        <v>14</v>
      </c>
      <c r="D2281" s="4" t="s">
        <v>15</v>
      </c>
      <c r="E2281" s="5" t="str">
        <f>"9010300"</f>
        <v>9010300</v>
      </c>
      <c r="F2281" s="3" t="s">
        <v>7253</v>
      </c>
      <c r="G2281" s="5">
        <v>2634027243</v>
      </c>
      <c r="H2281" s="4" t="s">
        <v>7254</v>
      </c>
      <c r="I2281" s="4" t="s">
        <v>7184</v>
      </c>
      <c r="J2281" s="4" t="s">
        <v>7255</v>
      </c>
      <c r="K2281" s="4" t="s">
        <v>7242</v>
      </c>
      <c r="L2281" s="5">
        <v>30300</v>
      </c>
    </row>
    <row r="2282" spans="1:12" x14ac:dyDescent="0.25">
      <c r="A2282" s="3" t="s">
        <v>6964</v>
      </c>
      <c r="B2282" s="4" t="s">
        <v>6965</v>
      </c>
      <c r="C2282" s="4" t="s">
        <v>25</v>
      </c>
      <c r="D2282" s="4" t="s">
        <v>26</v>
      </c>
      <c r="E2282" s="5" t="str">
        <f>"9010251"</f>
        <v>9010251</v>
      </c>
      <c r="F2282" s="3" t="s">
        <v>7256</v>
      </c>
      <c r="G2282" s="5">
        <v>2646360652</v>
      </c>
      <c r="H2282" s="4" t="s">
        <v>7257</v>
      </c>
      <c r="I2282" s="4" t="s">
        <v>7095</v>
      </c>
      <c r="J2282" s="4" t="s">
        <v>7258</v>
      </c>
      <c r="K2282" s="4" t="s">
        <v>7259</v>
      </c>
      <c r="L2282" s="5">
        <v>30006</v>
      </c>
    </row>
    <row r="2283" spans="1:12" x14ac:dyDescent="0.25">
      <c r="A2283" s="3" t="s">
        <v>6964</v>
      </c>
      <c r="B2283" s="4" t="s">
        <v>6965</v>
      </c>
      <c r="C2283" s="4" t="s">
        <v>14</v>
      </c>
      <c r="D2283" s="4" t="s">
        <v>15</v>
      </c>
      <c r="E2283" s="5" t="str">
        <f>"9010145"</f>
        <v>9010145</v>
      </c>
      <c r="F2283" s="3" t="s">
        <v>7260</v>
      </c>
      <c r="G2283" s="5">
        <v>2642022280</v>
      </c>
      <c r="H2283" s="4" t="s">
        <v>7261</v>
      </c>
      <c r="I2283" s="4" t="s">
        <v>7073</v>
      </c>
      <c r="J2283" s="4" t="s">
        <v>7163</v>
      </c>
      <c r="K2283" s="4" t="s">
        <v>7262</v>
      </c>
      <c r="L2283" s="5">
        <v>30500</v>
      </c>
    </row>
    <row r="2284" spans="1:12" x14ac:dyDescent="0.25">
      <c r="A2284" s="3" t="s">
        <v>6964</v>
      </c>
      <c r="B2284" s="4" t="s">
        <v>6965</v>
      </c>
      <c r="C2284" s="4" t="s">
        <v>14</v>
      </c>
      <c r="D2284" s="4" t="s">
        <v>15</v>
      </c>
      <c r="E2284" s="5" t="str">
        <f>"9010306"</f>
        <v>9010306</v>
      </c>
      <c r="F2284" s="3" t="s">
        <v>7263</v>
      </c>
      <c r="G2284" s="5">
        <v>2634027485</v>
      </c>
      <c r="H2284" s="4" t="s">
        <v>7264</v>
      </c>
      <c r="I2284" s="4" t="s">
        <v>7184</v>
      </c>
      <c r="J2284" s="4" t="s">
        <v>7185</v>
      </c>
      <c r="K2284" s="4" t="s">
        <v>7265</v>
      </c>
      <c r="L2284" s="5">
        <v>30300</v>
      </c>
    </row>
    <row r="2285" spans="1:12" x14ac:dyDescent="0.25">
      <c r="A2285" s="3" t="s">
        <v>6964</v>
      </c>
      <c r="B2285" s="4" t="s">
        <v>6965</v>
      </c>
      <c r="C2285" s="4" t="s">
        <v>14</v>
      </c>
      <c r="D2285" s="4" t="s">
        <v>15</v>
      </c>
      <c r="E2285" s="5" t="str">
        <f>"9010312"</f>
        <v>9010312</v>
      </c>
      <c r="F2285" s="3" t="s">
        <v>7266</v>
      </c>
      <c r="G2285" s="5">
        <v>2634350190</v>
      </c>
      <c r="H2285" s="4" t="s">
        <v>7267</v>
      </c>
      <c r="I2285" s="4" t="s">
        <v>7184</v>
      </c>
      <c r="J2285" s="4" t="s">
        <v>7268</v>
      </c>
      <c r="K2285" s="4" t="s">
        <v>7269</v>
      </c>
      <c r="L2285" s="5">
        <v>30020</v>
      </c>
    </row>
    <row r="2286" spans="1:12" x14ac:dyDescent="0.25">
      <c r="A2286" s="3" t="s">
        <v>6964</v>
      </c>
      <c r="B2286" s="4" t="s">
        <v>6965</v>
      </c>
      <c r="C2286" s="4" t="s">
        <v>14</v>
      </c>
      <c r="D2286" s="4" t="s">
        <v>15</v>
      </c>
      <c r="E2286" s="5" t="str">
        <f>"9010576"</f>
        <v>9010576</v>
      </c>
      <c r="F2286" s="3" t="s">
        <v>7270</v>
      </c>
      <c r="G2286" s="5">
        <v>2647022273</v>
      </c>
      <c r="H2286" s="4" t="s">
        <v>7271</v>
      </c>
      <c r="I2286" s="4" t="s">
        <v>7073</v>
      </c>
      <c r="J2286" s="4" t="s">
        <v>7272</v>
      </c>
      <c r="K2286" s="4" t="s">
        <v>7273</v>
      </c>
      <c r="L2286" s="5">
        <v>30017</v>
      </c>
    </row>
    <row r="2287" spans="1:12" x14ac:dyDescent="0.25">
      <c r="A2287" s="3" t="s">
        <v>6964</v>
      </c>
      <c r="B2287" s="4" t="s">
        <v>6965</v>
      </c>
      <c r="C2287" s="4" t="s">
        <v>14</v>
      </c>
      <c r="D2287" s="4" t="s">
        <v>15</v>
      </c>
      <c r="E2287" s="5" t="str">
        <f>"9010302"</f>
        <v>9010302</v>
      </c>
      <c r="F2287" s="3" t="s">
        <v>7274</v>
      </c>
      <c r="G2287" s="5">
        <v>2634027365</v>
      </c>
      <c r="H2287" s="4" t="s">
        <v>7275</v>
      </c>
      <c r="I2287" s="4" t="s">
        <v>7184</v>
      </c>
      <c r="J2287" s="4" t="s">
        <v>7185</v>
      </c>
      <c r="K2287" s="4" t="s">
        <v>7276</v>
      </c>
      <c r="L2287" s="5">
        <v>30300</v>
      </c>
    </row>
    <row r="2288" spans="1:12" x14ac:dyDescent="0.25">
      <c r="A2288" s="3" t="s">
        <v>6964</v>
      </c>
      <c r="B2288" s="4" t="s">
        <v>6965</v>
      </c>
      <c r="C2288" s="4" t="s">
        <v>14</v>
      </c>
      <c r="D2288" s="4" t="s">
        <v>15</v>
      </c>
      <c r="E2288" s="5" t="str">
        <f>"9010447"</f>
        <v>9010447</v>
      </c>
      <c r="F2288" s="3" t="s">
        <v>7277</v>
      </c>
      <c r="G2288" s="5">
        <v>2642022718</v>
      </c>
      <c r="H2288" s="4" t="s">
        <v>7278</v>
      </c>
      <c r="I2288" s="4" t="s">
        <v>7073</v>
      </c>
      <c r="J2288" s="4" t="s">
        <v>7163</v>
      </c>
      <c r="K2288" s="4" t="s">
        <v>7279</v>
      </c>
      <c r="L2288" s="5">
        <v>30500</v>
      </c>
    </row>
    <row r="2289" spans="1:12" x14ac:dyDescent="0.25">
      <c r="A2289" s="3" t="s">
        <v>6964</v>
      </c>
      <c r="B2289" s="4" t="s">
        <v>6965</v>
      </c>
      <c r="C2289" s="4" t="s">
        <v>14</v>
      </c>
      <c r="D2289" s="4" t="s">
        <v>15</v>
      </c>
      <c r="E2289" s="5" t="str">
        <f>"9010146"</f>
        <v>9010146</v>
      </c>
      <c r="F2289" s="3" t="s">
        <v>7280</v>
      </c>
      <c r="G2289" s="5">
        <v>2642022504</v>
      </c>
      <c r="H2289" s="4" t="s">
        <v>7281</v>
      </c>
      <c r="I2289" s="4" t="s">
        <v>7073</v>
      </c>
      <c r="J2289" s="4" t="s">
        <v>7163</v>
      </c>
      <c r="K2289" s="4" t="s">
        <v>7282</v>
      </c>
      <c r="L2289" s="5">
        <v>30500</v>
      </c>
    </row>
    <row r="2290" spans="1:12" x14ac:dyDescent="0.25">
      <c r="A2290" s="3" t="s">
        <v>6964</v>
      </c>
      <c r="B2290" s="4" t="s">
        <v>6965</v>
      </c>
      <c r="C2290" s="4" t="s">
        <v>14</v>
      </c>
      <c r="D2290" s="4" t="s">
        <v>15</v>
      </c>
      <c r="E2290" s="5" t="str">
        <f>"9010002"</f>
        <v>9010002</v>
      </c>
      <c r="F2290" s="3" t="s">
        <v>7283</v>
      </c>
      <c r="G2290" s="5">
        <v>2641023240</v>
      </c>
      <c r="H2290" s="4" t="s">
        <v>7284</v>
      </c>
      <c r="I2290" s="4" t="s">
        <v>6968</v>
      </c>
      <c r="J2290" s="4" t="s">
        <v>7008</v>
      </c>
      <c r="K2290" s="4" t="s">
        <v>7285</v>
      </c>
      <c r="L2290" s="5">
        <v>30132</v>
      </c>
    </row>
    <row r="2291" spans="1:12" x14ac:dyDescent="0.25">
      <c r="A2291" s="3" t="s">
        <v>6964</v>
      </c>
      <c r="B2291" s="4" t="s">
        <v>6965</v>
      </c>
      <c r="C2291" s="4" t="s">
        <v>14</v>
      </c>
      <c r="D2291" s="4" t="s">
        <v>15</v>
      </c>
      <c r="E2291" s="5" t="str">
        <f>"9010173"</f>
        <v>9010173</v>
      </c>
      <c r="F2291" s="3" t="s">
        <v>7286</v>
      </c>
      <c r="G2291" s="5">
        <v>2642051149</v>
      </c>
      <c r="H2291" s="4" t="s">
        <v>7287</v>
      </c>
      <c r="I2291" s="4" t="s">
        <v>7073</v>
      </c>
      <c r="J2291" s="4" t="s">
        <v>7074</v>
      </c>
      <c r="K2291" s="4" t="s">
        <v>7074</v>
      </c>
      <c r="L2291" s="5">
        <v>30500</v>
      </c>
    </row>
    <row r="2292" spans="1:12" x14ac:dyDescent="0.25">
      <c r="A2292" s="3" t="s">
        <v>6964</v>
      </c>
      <c r="B2292" s="4" t="s">
        <v>6965</v>
      </c>
      <c r="C2292" s="4" t="s">
        <v>25</v>
      </c>
      <c r="D2292" s="4" t="s">
        <v>26</v>
      </c>
      <c r="E2292" s="5" t="str">
        <f>"9010565"</f>
        <v>9010565</v>
      </c>
      <c r="F2292" s="3" t="s">
        <v>7288</v>
      </c>
      <c r="G2292" s="5">
        <v>2643360409</v>
      </c>
      <c r="H2292" s="4" t="s">
        <v>7289</v>
      </c>
      <c r="I2292" s="4" t="s">
        <v>6977</v>
      </c>
      <c r="J2292" s="4" t="s">
        <v>7144</v>
      </c>
      <c r="K2292" s="4" t="s">
        <v>7290</v>
      </c>
      <c r="L2292" s="5">
        <v>30002</v>
      </c>
    </row>
    <row r="2293" spans="1:12" x14ac:dyDescent="0.25">
      <c r="A2293" s="3" t="s">
        <v>6964</v>
      </c>
      <c r="B2293" s="4" t="s">
        <v>6965</v>
      </c>
      <c r="C2293" s="4" t="s">
        <v>14</v>
      </c>
      <c r="D2293" s="4" t="s">
        <v>15</v>
      </c>
      <c r="E2293" s="5" t="str">
        <f>"9010305"</f>
        <v>9010305</v>
      </c>
      <c r="F2293" s="3" t="s">
        <v>7291</v>
      </c>
      <c r="G2293" s="5">
        <v>2634028858</v>
      </c>
      <c r="H2293" s="4" t="s">
        <v>7292</v>
      </c>
      <c r="I2293" s="4" t="s">
        <v>7184</v>
      </c>
      <c r="J2293" s="4" t="s">
        <v>7185</v>
      </c>
      <c r="K2293" s="4" t="s">
        <v>7215</v>
      </c>
      <c r="L2293" s="5">
        <v>30300</v>
      </c>
    </row>
    <row r="2294" spans="1:12" x14ac:dyDescent="0.25">
      <c r="A2294" s="3" t="s">
        <v>6964</v>
      </c>
      <c r="B2294" s="4" t="s">
        <v>6965</v>
      </c>
      <c r="C2294" s="4" t="s">
        <v>14</v>
      </c>
      <c r="D2294" s="4" t="s">
        <v>15</v>
      </c>
      <c r="E2294" s="5" t="str">
        <f>"9010554"</f>
        <v>9010554</v>
      </c>
      <c r="F2294" s="3" t="s">
        <v>7293</v>
      </c>
      <c r="G2294" s="5">
        <v>2641021526</v>
      </c>
      <c r="H2294" s="4" t="s">
        <v>7294</v>
      </c>
      <c r="I2294" s="4" t="s">
        <v>6968</v>
      </c>
      <c r="J2294" s="4" t="s">
        <v>7008</v>
      </c>
      <c r="K2294" s="4" t="s">
        <v>7295</v>
      </c>
      <c r="L2294" s="5">
        <v>30132</v>
      </c>
    </row>
    <row r="2295" spans="1:12" x14ac:dyDescent="0.25">
      <c r="A2295" s="3" t="s">
        <v>6964</v>
      </c>
      <c r="B2295" s="4" t="s">
        <v>6965</v>
      </c>
      <c r="C2295" s="4" t="s">
        <v>14</v>
      </c>
      <c r="D2295" s="4" t="s">
        <v>15</v>
      </c>
      <c r="E2295" s="5" t="str">
        <f>"9010231"</f>
        <v>9010231</v>
      </c>
      <c r="F2295" s="3" t="s">
        <v>7296</v>
      </c>
      <c r="G2295" s="5">
        <v>2646360654</v>
      </c>
      <c r="H2295" s="4" t="s">
        <v>7297</v>
      </c>
      <c r="I2295" s="4" t="s">
        <v>6977</v>
      </c>
      <c r="J2295" s="4" t="s">
        <v>7298</v>
      </c>
      <c r="K2295" s="4" t="s">
        <v>7298</v>
      </c>
      <c r="L2295" s="5">
        <v>30004</v>
      </c>
    </row>
    <row r="2296" spans="1:12" x14ac:dyDescent="0.25">
      <c r="A2296" s="3" t="s">
        <v>6964</v>
      </c>
      <c r="B2296" s="4" t="s">
        <v>6965</v>
      </c>
      <c r="C2296" s="4" t="s">
        <v>14</v>
      </c>
      <c r="D2296" s="4" t="s">
        <v>15</v>
      </c>
      <c r="E2296" s="5" t="str">
        <f>"9010054"</f>
        <v>9010054</v>
      </c>
      <c r="F2296" s="3" t="s">
        <v>7299</v>
      </c>
      <c r="G2296" s="5">
        <v>2641051234</v>
      </c>
      <c r="H2296" s="4" t="s">
        <v>7300</v>
      </c>
      <c r="I2296" s="4" t="s">
        <v>6968</v>
      </c>
      <c r="J2296" s="4" t="s">
        <v>7012</v>
      </c>
      <c r="K2296" s="4" t="s">
        <v>7301</v>
      </c>
      <c r="L2296" s="5">
        <v>30003</v>
      </c>
    </row>
    <row r="2297" spans="1:12" x14ac:dyDescent="0.25">
      <c r="A2297" s="3" t="s">
        <v>6964</v>
      </c>
      <c r="B2297" s="4" t="s">
        <v>6965</v>
      </c>
      <c r="C2297" s="4" t="s">
        <v>14</v>
      </c>
      <c r="D2297" s="4" t="s">
        <v>15</v>
      </c>
      <c r="E2297" s="5" t="str">
        <f>"9010055"</f>
        <v>9010055</v>
      </c>
      <c r="F2297" s="3" t="s">
        <v>7302</v>
      </c>
      <c r="G2297" s="5">
        <v>2641051237</v>
      </c>
      <c r="H2297" s="4" t="s">
        <v>7303</v>
      </c>
      <c r="I2297" s="4" t="s">
        <v>6968</v>
      </c>
      <c r="J2297" s="4" t="s">
        <v>7012</v>
      </c>
      <c r="K2297" s="4" t="s">
        <v>3145</v>
      </c>
      <c r="L2297" s="5">
        <v>30003</v>
      </c>
    </row>
    <row r="2298" spans="1:12" x14ac:dyDescent="0.25">
      <c r="A2298" s="3" t="s">
        <v>6964</v>
      </c>
      <c r="B2298" s="4" t="s">
        <v>6965</v>
      </c>
      <c r="C2298" s="4" t="s">
        <v>14</v>
      </c>
      <c r="D2298" s="4" t="s">
        <v>15</v>
      </c>
      <c r="E2298" s="5" t="str">
        <f>"9010380"</f>
        <v>9010380</v>
      </c>
      <c r="F2298" s="3" t="s">
        <v>7304</v>
      </c>
      <c r="G2298" s="5">
        <v>2632022790</v>
      </c>
      <c r="H2298" s="4" t="s">
        <v>7305</v>
      </c>
      <c r="I2298" s="4" t="s">
        <v>6972</v>
      </c>
      <c r="J2298" s="4" t="s">
        <v>7306</v>
      </c>
      <c r="K2298" s="4" t="s">
        <v>7170</v>
      </c>
      <c r="L2298" s="5">
        <v>30400</v>
      </c>
    </row>
    <row r="2299" spans="1:12" x14ac:dyDescent="0.25">
      <c r="A2299" s="3" t="s">
        <v>6964</v>
      </c>
      <c r="B2299" s="4" t="s">
        <v>6965</v>
      </c>
      <c r="C2299" s="4" t="s">
        <v>14</v>
      </c>
      <c r="D2299" s="4" t="s">
        <v>15</v>
      </c>
      <c r="E2299" s="5" t="str">
        <f>"9010384"</f>
        <v>9010384</v>
      </c>
      <c r="F2299" s="3" t="s">
        <v>7307</v>
      </c>
      <c r="G2299" s="5">
        <v>2631022549</v>
      </c>
      <c r="H2299" s="4" t="s">
        <v>7308</v>
      </c>
      <c r="I2299" s="4" t="s">
        <v>6972</v>
      </c>
      <c r="J2299" s="4" t="s">
        <v>7119</v>
      </c>
      <c r="K2299" s="4" t="s">
        <v>7309</v>
      </c>
      <c r="L2299" s="5">
        <v>30200</v>
      </c>
    </row>
    <row r="2300" spans="1:12" x14ac:dyDescent="0.25">
      <c r="A2300" s="3" t="s">
        <v>6964</v>
      </c>
      <c r="B2300" s="4" t="s">
        <v>6965</v>
      </c>
      <c r="C2300" s="4" t="s">
        <v>14</v>
      </c>
      <c r="D2300" s="4" t="s">
        <v>15</v>
      </c>
      <c r="E2300" s="5" t="str">
        <f>"9010260"</f>
        <v>9010260</v>
      </c>
      <c r="F2300" s="3" t="s">
        <v>7310</v>
      </c>
      <c r="G2300" s="5">
        <v>2646051213</v>
      </c>
      <c r="H2300" s="4" t="s">
        <v>7311</v>
      </c>
      <c r="I2300" s="4" t="s">
        <v>7095</v>
      </c>
      <c r="J2300" s="4" t="s">
        <v>7312</v>
      </c>
      <c r="K2300" s="4" t="s">
        <v>7313</v>
      </c>
      <c r="L2300" s="5">
        <v>30019</v>
      </c>
    </row>
    <row r="2301" spans="1:12" x14ac:dyDescent="0.25">
      <c r="A2301" s="3" t="s">
        <v>6964</v>
      </c>
      <c r="B2301" s="4" t="s">
        <v>6965</v>
      </c>
      <c r="C2301" s="4" t="s">
        <v>14</v>
      </c>
      <c r="D2301" s="4" t="s">
        <v>15</v>
      </c>
      <c r="E2301" s="5" t="str">
        <f>"9010222"</f>
        <v>9010222</v>
      </c>
      <c r="F2301" s="3" t="s">
        <v>7314</v>
      </c>
      <c r="G2301" s="5">
        <v>2643022236</v>
      </c>
      <c r="H2301" s="4" t="s">
        <v>7315</v>
      </c>
      <c r="I2301" s="4" t="s">
        <v>6977</v>
      </c>
      <c r="J2301" s="4" t="s">
        <v>7316</v>
      </c>
      <c r="K2301" s="4" t="s">
        <v>7317</v>
      </c>
      <c r="L2301" s="5">
        <v>30002</v>
      </c>
    </row>
    <row r="2302" spans="1:12" x14ac:dyDescent="0.25">
      <c r="A2302" s="3" t="s">
        <v>6964</v>
      </c>
      <c r="B2302" s="4" t="s">
        <v>6965</v>
      </c>
      <c r="C2302" s="4" t="s">
        <v>14</v>
      </c>
      <c r="D2302" s="4" t="s">
        <v>15</v>
      </c>
      <c r="E2302" s="5" t="str">
        <f>"9010010"</f>
        <v>9010010</v>
      </c>
      <c r="F2302" s="3" t="s">
        <v>7318</v>
      </c>
      <c r="G2302" s="5">
        <v>2641022075</v>
      </c>
      <c r="H2302" s="4" t="s">
        <v>7319</v>
      </c>
      <c r="I2302" s="4" t="s">
        <v>6968</v>
      </c>
      <c r="J2302" s="4" t="s">
        <v>7008</v>
      </c>
      <c r="K2302" s="4" t="s">
        <v>7320</v>
      </c>
      <c r="L2302" s="5">
        <v>30132</v>
      </c>
    </row>
    <row r="2303" spans="1:12" x14ac:dyDescent="0.25">
      <c r="A2303" s="3" t="s">
        <v>6964</v>
      </c>
      <c r="B2303" s="4" t="s">
        <v>6965</v>
      </c>
      <c r="C2303" s="4" t="s">
        <v>14</v>
      </c>
      <c r="D2303" s="4" t="s">
        <v>15</v>
      </c>
      <c r="E2303" s="5" t="str">
        <f>"9010138"</f>
        <v>9010138</v>
      </c>
      <c r="F2303" s="3" t="s">
        <v>7321</v>
      </c>
      <c r="G2303" s="5">
        <v>2641091222</v>
      </c>
      <c r="H2303" s="4" t="s">
        <v>7322</v>
      </c>
      <c r="I2303" s="4" t="s">
        <v>6968</v>
      </c>
      <c r="J2303" s="4" t="s">
        <v>7180</v>
      </c>
      <c r="K2303" s="4" t="s">
        <v>746</v>
      </c>
      <c r="L2303" s="5">
        <v>30100</v>
      </c>
    </row>
    <row r="2304" spans="1:12" x14ac:dyDescent="0.25">
      <c r="A2304" s="3" t="s">
        <v>6964</v>
      </c>
      <c r="B2304" s="4" t="s">
        <v>6965</v>
      </c>
      <c r="C2304" s="4" t="s">
        <v>25</v>
      </c>
      <c r="D2304" s="4" t="s">
        <v>26</v>
      </c>
      <c r="E2304" s="5" t="str">
        <f>"9521634"</f>
        <v>9521634</v>
      </c>
      <c r="F2304" s="3" t="s">
        <v>7323</v>
      </c>
      <c r="G2304" s="5">
        <v>2641361739</v>
      </c>
      <c r="H2304" s="4" t="s">
        <v>7324</v>
      </c>
      <c r="I2304" s="4" t="s">
        <v>6968</v>
      </c>
      <c r="J2304" s="4" t="s">
        <v>7008</v>
      </c>
      <c r="K2304" s="4" t="s">
        <v>7325</v>
      </c>
      <c r="L2304" s="5">
        <v>30100</v>
      </c>
    </row>
    <row r="2305" spans="1:12" x14ac:dyDescent="0.25">
      <c r="A2305" s="3" t="s">
        <v>6964</v>
      </c>
      <c r="B2305" s="4" t="s">
        <v>7326</v>
      </c>
      <c r="C2305" s="4" t="s">
        <v>14</v>
      </c>
      <c r="D2305" s="4" t="s">
        <v>15</v>
      </c>
      <c r="E2305" s="5" t="str">
        <f>"9060308"</f>
        <v>9060308</v>
      </c>
      <c r="F2305" s="3" t="s">
        <v>7327</v>
      </c>
      <c r="G2305" s="5">
        <v>2610274472</v>
      </c>
      <c r="H2305" s="4" t="s">
        <v>7328</v>
      </c>
      <c r="I2305" s="4" t="s">
        <v>7329</v>
      </c>
      <c r="J2305" s="4" t="s">
        <v>7330</v>
      </c>
      <c r="K2305" s="4" t="s">
        <v>7331</v>
      </c>
      <c r="L2305" s="5">
        <v>26334</v>
      </c>
    </row>
    <row r="2306" spans="1:12" x14ac:dyDescent="0.25">
      <c r="A2306" s="3" t="s">
        <v>6964</v>
      </c>
      <c r="B2306" s="4" t="s">
        <v>7326</v>
      </c>
      <c r="C2306" s="4" t="s">
        <v>25</v>
      </c>
      <c r="D2306" s="4" t="s">
        <v>26</v>
      </c>
      <c r="E2306" s="5" t="str">
        <f>"9060407"</f>
        <v>9060407</v>
      </c>
      <c r="F2306" s="3" t="s">
        <v>7332</v>
      </c>
      <c r="G2306" s="5">
        <v>2610643790</v>
      </c>
      <c r="H2306" s="4" t="s">
        <v>7333</v>
      </c>
      <c r="I2306" s="4" t="s">
        <v>7329</v>
      </c>
      <c r="J2306" s="4" t="s">
        <v>7334</v>
      </c>
      <c r="K2306" s="4" t="s">
        <v>7335</v>
      </c>
      <c r="L2306" s="5">
        <v>26334</v>
      </c>
    </row>
    <row r="2307" spans="1:12" x14ac:dyDescent="0.25">
      <c r="A2307" s="3" t="s">
        <v>6964</v>
      </c>
      <c r="B2307" s="4" t="s">
        <v>7326</v>
      </c>
      <c r="C2307" s="4" t="s">
        <v>14</v>
      </c>
      <c r="D2307" s="4" t="s">
        <v>15</v>
      </c>
      <c r="E2307" s="5" t="str">
        <f>"9060314"</f>
        <v>9060314</v>
      </c>
      <c r="F2307" s="3" t="s">
        <v>7336</v>
      </c>
      <c r="G2307" s="5">
        <v>2610640385</v>
      </c>
      <c r="H2307" s="4" t="s">
        <v>7337</v>
      </c>
      <c r="I2307" s="4" t="s">
        <v>7329</v>
      </c>
      <c r="J2307" s="4" t="s">
        <v>7338</v>
      </c>
      <c r="K2307" s="4" t="s">
        <v>7339</v>
      </c>
      <c r="L2307" s="5">
        <v>26335</v>
      </c>
    </row>
    <row r="2308" spans="1:12" x14ac:dyDescent="0.25">
      <c r="A2308" s="3" t="s">
        <v>6964</v>
      </c>
      <c r="B2308" s="4" t="s">
        <v>7326</v>
      </c>
      <c r="C2308" s="4" t="s">
        <v>14</v>
      </c>
      <c r="D2308" s="4" t="s">
        <v>15</v>
      </c>
      <c r="E2308" s="5" t="str">
        <f>"9060362"</f>
        <v>9060362</v>
      </c>
      <c r="F2308" s="3" t="s">
        <v>7340</v>
      </c>
      <c r="G2308" s="5">
        <v>2610521600</v>
      </c>
      <c r="H2308" s="4" t="s">
        <v>7341</v>
      </c>
      <c r="I2308" s="4" t="s">
        <v>7329</v>
      </c>
      <c r="J2308" s="4" t="s">
        <v>7342</v>
      </c>
      <c r="K2308" s="4" t="s">
        <v>7343</v>
      </c>
      <c r="L2308" s="5">
        <v>26500</v>
      </c>
    </row>
    <row r="2309" spans="1:12" x14ac:dyDescent="0.25">
      <c r="A2309" s="3" t="s">
        <v>6964</v>
      </c>
      <c r="B2309" s="4" t="s">
        <v>7326</v>
      </c>
      <c r="C2309" s="4" t="s">
        <v>14</v>
      </c>
      <c r="D2309" s="4" t="s">
        <v>15</v>
      </c>
      <c r="E2309" s="5" t="str">
        <f>"9060154"</f>
        <v>9060154</v>
      </c>
      <c r="F2309" s="3" t="s">
        <v>7344</v>
      </c>
      <c r="G2309" s="5">
        <v>2610322712</v>
      </c>
      <c r="H2309" s="4" t="s">
        <v>7345</v>
      </c>
      <c r="I2309" s="4" t="s">
        <v>7329</v>
      </c>
      <c r="J2309" s="4" t="s">
        <v>7330</v>
      </c>
      <c r="K2309" s="4" t="s">
        <v>7346</v>
      </c>
      <c r="L2309" s="5">
        <v>26332</v>
      </c>
    </row>
    <row r="2310" spans="1:12" x14ac:dyDescent="0.25">
      <c r="A2310" s="3" t="s">
        <v>6964</v>
      </c>
      <c r="B2310" s="4" t="s">
        <v>7326</v>
      </c>
      <c r="C2310" s="4" t="s">
        <v>14</v>
      </c>
      <c r="D2310" s="4" t="s">
        <v>15</v>
      </c>
      <c r="E2310" s="5" t="str">
        <f>"9060057"</f>
        <v>9060057</v>
      </c>
      <c r="F2310" s="3" t="s">
        <v>7347</v>
      </c>
      <c r="G2310" s="5">
        <v>2691072265</v>
      </c>
      <c r="H2310" s="4" t="s">
        <v>7348</v>
      </c>
      <c r="I2310" s="4" t="s">
        <v>7349</v>
      </c>
      <c r="J2310" s="4" t="s">
        <v>7350</v>
      </c>
      <c r="K2310" s="4" t="s">
        <v>7350</v>
      </c>
      <c r="L2310" s="5">
        <v>25100</v>
      </c>
    </row>
    <row r="2311" spans="1:12" x14ac:dyDescent="0.25">
      <c r="A2311" s="3" t="s">
        <v>6964</v>
      </c>
      <c r="B2311" s="4" t="s">
        <v>7326</v>
      </c>
      <c r="C2311" s="4" t="s">
        <v>14</v>
      </c>
      <c r="D2311" s="4" t="s">
        <v>15</v>
      </c>
      <c r="E2311" s="5" t="str">
        <f>"9060318"</f>
        <v>9060318</v>
      </c>
      <c r="F2311" s="3" t="s">
        <v>7351</v>
      </c>
      <c r="G2311" s="5">
        <v>2610327048</v>
      </c>
      <c r="H2311" s="4" t="s">
        <v>7352</v>
      </c>
      <c r="I2311" s="4" t="s">
        <v>7329</v>
      </c>
      <c r="J2311" s="4" t="s">
        <v>7353</v>
      </c>
      <c r="K2311" s="4" t="s">
        <v>7354</v>
      </c>
      <c r="L2311" s="5">
        <v>26332</v>
      </c>
    </row>
    <row r="2312" spans="1:12" x14ac:dyDescent="0.25">
      <c r="A2312" s="3" t="s">
        <v>6964</v>
      </c>
      <c r="B2312" s="4" t="s">
        <v>7326</v>
      </c>
      <c r="C2312" s="4" t="s">
        <v>14</v>
      </c>
      <c r="D2312" s="4" t="s">
        <v>15</v>
      </c>
      <c r="E2312" s="5" t="str">
        <f>"9060007"</f>
        <v>9060007</v>
      </c>
      <c r="F2312" s="3" t="s">
        <v>7355</v>
      </c>
      <c r="G2312" s="5">
        <v>2691027766</v>
      </c>
      <c r="H2312" s="4" t="s">
        <v>7356</v>
      </c>
      <c r="I2312" s="4" t="s">
        <v>7349</v>
      </c>
      <c r="J2312" s="4" t="s">
        <v>7357</v>
      </c>
      <c r="K2312" s="4" t="s">
        <v>7358</v>
      </c>
      <c r="L2312" s="5">
        <v>25100</v>
      </c>
    </row>
    <row r="2313" spans="1:12" x14ac:dyDescent="0.25">
      <c r="A2313" s="3" t="s">
        <v>6964</v>
      </c>
      <c r="B2313" s="4" t="s">
        <v>7326</v>
      </c>
      <c r="C2313" s="4" t="s">
        <v>25</v>
      </c>
      <c r="D2313" s="4" t="s">
        <v>26</v>
      </c>
      <c r="E2313" s="5" t="str">
        <f>"9060464"</f>
        <v>9060464</v>
      </c>
      <c r="F2313" s="3" t="s">
        <v>7359</v>
      </c>
      <c r="G2313" s="5">
        <v>2610429965</v>
      </c>
      <c r="H2313" s="4" t="s">
        <v>7360</v>
      </c>
      <c r="I2313" s="4" t="s">
        <v>7329</v>
      </c>
      <c r="J2313" s="4" t="s">
        <v>7334</v>
      </c>
      <c r="K2313" s="4" t="s">
        <v>7361</v>
      </c>
      <c r="L2313" s="5">
        <v>26443</v>
      </c>
    </row>
    <row r="2314" spans="1:12" x14ac:dyDescent="0.25">
      <c r="A2314" s="3" t="s">
        <v>6964</v>
      </c>
      <c r="B2314" s="4" t="s">
        <v>7326</v>
      </c>
      <c r="C2314" s="4" t="s">
        <v>14</v>
      </c>
      <c r="D2314" s="4" t="s">
        <v>15</v>
      </c>
      <c r="E2314" s="5" t="str">
        <f>"9060365"</f>
        <v>9060365</v>
      </c>
      <c r="F2314" s="3" t="s">
        <v>7362</v>
      </c>
      <c r="G2314" s="5">
        <v>2610522165</v>
      </c>
      <c r="H2314" s="4" t="s">
        <v>7363</v>
      </c>
      <c r="I2314" s="4" t="s">
        <v>7329</v>
      </c>
      <c r="J2314" s="4" t="s">
        <v>7364</v>
      </c>
      <c r="K2314" s="4" t="s">
        <v>7365</v>
      </c>
      <c r="L2314" s="5">
        <v>26500</v>
      </c>
    </row>
    <row r="2315" spans="1:12" x14ac:dyDescent="0.25">
      <c r="A2315" s="3" t="s">
        <v>6964</v>
      </c>
      <c r="B2315" s="4" t="s">
        <v>7326</v>
      </c>
      <c r="C2315" s="4" t="s">
        <v>14</v>
      </c>
      <c r="D2315" s="4" t="s">
        <v>15</v>
      </c>
      <c r="E2315" s="5" t="str">
        <f>"9060153"</f>
        <v>9060153</v>
      </c>
      <c r="F2315" s="3" t="s">
        <v>7366</v>
      </c>
      <c r="G2315" s="5">
        <v>2610521977</v>
      </c>
      <c r="H2315" s="4" t="s">
        <v>7367</v>
      </c>
      <c r="I2315" s="4" t="s">
        <v>7329</v>
      </c>
      <c r="J2315" s="4" t="s">
        <v>7330</v>
      </c>
      <c r="K2315" s="4" t="s">
        <v>7368</v>
      </c>
      <c r="L2315" s="5">
        <v>26333</v>
      </c>
    </row>
    <row r="2316" spans="1:12" x14ac:dyDescent="0.25">
      <c r="A2316" s="3" t="s">
        <v>6964</v>
      </c>
      <c r="B2316" s="4" t="s">
        <v>7326</v>
      </c>
      <c r="C2316" s="4" t="s">
        <v>14</v>
      </c>
      <c r="D2316" s="4" t="s">
        <v>15</v>
      </c>
      <c r="E2316" s="5" t="str">
        <f>"9060313"</f>
        <v>9060313</v>
      </c>
      <c r="F2316" s="3" t="s">
        <v>7369</v>
      </c>
      <c r="G2316" s="5">
        <v>2610641534</v>
      </c>
      <c r="H2316" s="4" t="s">
        <v>7370</v>
      </c>
      <c r="I2316" s="4" t="s">
        <v>7329</v>
      </c>
      <c r="J2316" s="4" t="s">
        <v>7330</v>
      </c>
      <c r="K2316" s="4" t="s">
        <v>7371</v>
      </c>
      <c r="L2316" s="5">
        <v>26335</v>
      </c>
    </row>
    <row r="2317" spans="1:12" x14ac:dyDescent="0.25">
      <c r="A2317" s="3" t="s">
        <v>6964</v>
      </c>
      <c r="B2317" s="4" t="s">
        <v>7326</v>
      </c>
      <c r="C2317" s="4" t="s">
        <v>25</v>
      </c>
      <c r="D2317" s="4" t="s">
        <v>26</v>
      </c>
      <c r="E2317" s="5" t="str">
        <f>"9060465"</f>
        <v>9060465</v>
      </c>
      <c r="F2317" s="3" t="s">
        <v>7372</v>
      </c>
      <c r="G2317" s="5">
        <v>2610623748</v>
      </c>
      <c r="H2317" s="4" t="s">
        <v>7373</v>
      </c>
      <c r="I2317" s="4" t="s">
        <v>7329</v>
      </c>
      <c r="J2317" s="4" t="s">
        <v>7334</v>
      </c>
      <c r="K2317" s="4" t="s">
        <v>7374</v>
      </c>
      <c r="L2317" s="5">
        <v>26331</v>
      </c>
    </row>
    <row r="2318" spans="1:12" x14ac:dyDescent="0.25">
      <c r="A2318" s="3" t="s">
        <v>6964</v>
      </c>
      <c r="B2318" s="4" t="s">
        <v>7326</v>
      </c>
      <c r="C2318" s="4" t="s">
        <v>14</v>
      </c>
      <c r="D2318" s="4" t="s">
        <v>15</v>
      </c>
      <c r="E2318" s="5" t="str">
        <f>"9060182"</f>
        <v>9060182</v>
      </c>
      <c r="F2318" s="3" t="s">
        <v>7375</v>
      </c>
      <c r="G2318" s="5">
        <v>2693025462</v>
      </c>
      <c r="H2318" s="4" t="s">
        <v>7376</v>
      </c>
      <c r="I2318" s="4" t="s">
        <v>7377</v>
      </c>
      <c r="J2318" s="4" t="s">
        <v>7378</v>
      </c>
      <c r="K2318" s="4" t="s">
        <v>7379</v>
      </c>
      <c r="L2318" s="5">
        <v>25200</v>
      </c>
    </row>
    <row r="2319" spans="1:12" x14ac:dyDescent="0.25">
      <c r="A2319" s="3" t="s">
        <v>6964</v>
      </c>
      <c r="B2319" s="4" t="s">
        <v>7326</v>
      </c>
      <c r="C2319" s="4" t="s">
        <v>14</v>
      </c>
      <c r="D2319" s="4" t="s">
        <v>15</v>
      </c>
      <c r="E2319" s="5" t="str">
        <f>"9060198"</f>
        <v>9060198</v>
      </c>
      <c r="F2319" s="3" t="s">
        <v>7380</v>
      </c>
      <c r="G2319" s="5">
        <v>2610520596</v>
      </c>
      <c r="H2319" s="4" t="s">
        <v>7381</v>
      </c>
      <c r="I2319" s="4" t="s">
        <v>7329</v>
      </c>
      <c r="J2319" s="4" t="s">
        <v>7382</v>
      </c>
      <c r="K2319" s="4" t="s">
        <v>7383</v>
      </c>
      <c r="L2319" s="5">
        <v>26500</v>
      </c>
    </row>
    <row r="2320" spans="1:12" x14ac:dyDescent="0.25">
      <c r="A2320" s="3" t="s">
        <v>6964</v>
      </c>
      <c r="B2320" s="4" t="s">
        <v>7326</v>
      </c>
      <c r="C2320" s="4" t="s">
        <v>14</v>
      </c>
      <c r="D2320" s="4" t="s">
        <v>15</v>
      </c>
      <c r="E2320" s="5" t="str">
        <f>"9060316"</f>
        <v>9060316</v>
      </c>
      <c r="F2320" s="3" t="s">
        <v>7384</v>
      </c>
      <c r="G2320" s="5">
        <v>2610271267</v>
      </c>
      <c r="H2320" s="4" t="s">
        <v>7385</v>
      </c>
      <c r="I2320" s="4" t="s">
        <v>7329</v>
      </c>
      <c r="J2320" s="4" t="s">
        <v>7330</v>
      </c>
      <c r="K2320" s="4" t="s">
        <v>7374</v>
      </c>
      <c r="L2320" s="5">
        <v>26331</v>
      </c>
    </row>
    <row r="2321" spans="1:12" x14ac:dyDescent="0.25">
      <c r="A2321" s="3" t="s">
        <v>6964</v>
      </c>
      <c r="B2321" s="4" t="s">
        <v>7326</v>
      </c>
      <c r="C2321" s="4" t="s">
        <v>14</v>
      </c>
      <c r="D2321" s="4" t="s">
        <v>15</v>
      </c>
      <c r="E2321" s="5" t="str">
        <f>"9060156"</f>
        <v>9060156</v>
      </c>
      <c r="F2321" s="3" t="s">
        <v>7386</v>
      </c>
      <c r="G2321" s="5">
        <v>2610327278</v>
      </c>
      <c r="H2321" s="4" t="s">
        <v>7387</v>
      </c>
      <c r="I2321" s="4" t="s">
        <v>7329</v>
      </c>
      <c r="J2321" s="4" t="s">
        <v>7330</v>
      </c>
      <c r="K2321" s="4" t="s">
        <v>7388</v>
      </c>
      <c r="L2321" s="5">
        <v>26332</v>
      </c>
    </row>
    <row r="2322" spans="1:12" x14ac:dyDescent="0.25">
      <c r="A2322" s="3" t="s">
        <v>6964</v>
      </c>
      <c r="B2322" s="4" t="s">
        <v>7326</v>
      </c>
      <c r="C2322" s="4" t="s">
        <v>14</v>
      </c>
      <c r="D2322" s="4" t="s">
        <v>15</v>
      </c>
      <c r="E2322" s="5" t="str">
        <f>"9060255"</f>
        <v>9060255</v>
      </c>
      <c r="F2322" s="3" t="s">
        <v>7389</v>
      </c>
      <c r="G2322" s="5">
        <v>2610991546</v>
      </c>
      <c r="H2322" s="4" t="s">
        <v>7390</v>
      </c>
      <c r="I2322" s="4" t="s">
        <v>7329</v>
      </c>
      <c r="J2322" s="4"/>
      <c r="K2322" s="4" t="s">
        <v>7391</v>
      </c>
      <c r="L2322" s="5">
        <v>26504</v>
      </c>
    </row>
    <row r="2323" spans="1:12" x14ac:dyDescent="0.25">
      <c r="A2323" s="3" t="s">
        <v>6964</v>
      </c>
      <c r="B2323" s="4" t="s">
        <v>7326</v>
      </c>
      <c r="C2323" s="4" t="s">
        <v>25</v>
      </c>
      <c r="D2323" s="4" t="s">
        <v>26</v>
      </c>
      <c r="E2323" s="5" t="str">
        <f>"9060394"</f>
        <v>9060394</v>
      </c>
      <c r="F2323" s="3" t="s">
        <v>7392</v>
      </c>
      <c r="G2323" s="5">
        <v>2610424504</v>
      </c>
      <c r="H2323" s="4" t="s">
        <v>7393</v>
      </c>
      <c r="I2323" s="4" t="s">
        <v>7329</v>
      </c>
      <c r="J2323" s="4" t="s">
        <v>7334</v>
      </c>
      <c r="K2323" s="4" t="s">
        <v>7394</v>
      </c>
      <c r="L2323" s="5">
        <v>26442</v>
      </c>
    </row>
    <row r="2324" spans="1:12" x14ac:dyDescent="0.25">
      <c r="A2324" s="3" t="s">
        <v>6964</v>
      </c>
      <c r="B2324" s="4" t="s">
        <v>7326</v>
      </c>
      <c r="C2324" s="4" t="s">
        <v>14</v>
      </c>
      <c r="D2324" s="4" t="s">
        <v>15</v>
      </c>
      <c r="E2324" s="5" t="str">
        <f>"9060518"</f>
        <v>9060518</v>
      </c>
      <c r="F2324" s="3" t="s">
        <v>7395</v>
      </c>
      <c r="G2324" s="5">
        <v>2610337964</v>
      </c>
      <c r="H2324" s="4" t="s">
        <v>7396</v>
      </c>
      <c r="I2324" s="4" t="s">
        <v>7329</v>
      </c>
      <c r="J2324" s="4" t="s">
        <v>7330</v>
      </c>
      <c r="K2324" s="4" t="s">
        <v>7397</v>
      </c>
      <c r="L2324" s="5">
        <v>26332</v>
      </c>
    </row>
    <row r="2325" spans="1:12" x14ac:dyDescent="0.25">
      <c r="A2325" s="3" t="s">
        <v>6964</v>
      </c>
      <c r="B2325" s="4" t="s">
        <v>7326</v>
      </c>
      <c r="C2325" s="4" t="s">
        <v>14</v>
      </c>
      <c r="D2325" s="4" t="s">
        <v>15</v>
      </c>
      <c r="E2325" s="5" t="str">
        <f>"9060256"</f>
        <v>9060256</v>
      </c>
      <c r="F2325" s="3" t="s">
        <v>7398</v>
      </c>
      <c r="G2325" s="5">
        <v>2610991260</v>
      </c>
      <c r="H2325" s="4" t="s">
        <v>7399</v>
      </c>
      <c r="I2325" s="4" t="s">
        <v>7329</v>
      </c>
      <c r="J2325" s="4" t="s">
        <v>7400</v>
      </c>
      <c r="K2325" s="4" t="s">
        <v>7401</v>
      </c>
      <c r="L2325" s="5">
        <v>26504</v>
      </c>
    </row>
    <row r="2326" spans="1:12" x14ac:dyDescent="0.25">
      <c r="A2326" s="3" t="s">
        <v>6964</v>
      </c>
      <c r="B2326" s="4" t="s">
        <v>7326</v>
      </c>
      <c r="C2326" s="4" t="s">
        <v>14</v>
      </c>
      <c r="D2326" s="4" t="s">
        <v>15</v>
      </c>
      <c r="E2326" s="5" t="str">
        <f>"9060315"</f>
        <v>9060315</v>
      </c>
      <c r="F2326" s="3" t="s">
        <v>7402</v>
      </c>
      <c r="G2326" s="5">
        <v>2610643765</v>
      </c>
      <c r="H2326" s="4" t="s">
        <v>7403</v>
      </c>
      <c r="I2326" s="4" t="s">
        <v>7329</v>
      </c>
      <c r="J2326" s="4" t="s">
        <v>7330</v>
      </c>
      <c r="K2326" s="4" t="s">
        <v>7404</v>
      </c>
      <c r="L2326" s="5">
        <v>26334</v>
      </c>
    </row>
    <row r="2327" spans="1:12" x14ac:dyDescent="0.25">
      <c r="A2327" s="3" t="s">
        <v>6964</v>
      </c>
      <c r="B2327" s="4" t="s">
        <v>7326</v>
      </c>
      <c r="C2327" s="4" t="s">
        <v>25</v>
      </c>
      <c r="D2327" s="4" t="s">
        <v>26</v>
      </c>
      <c r="E2327" s="5" t="str">
        <f>"9060525"</f>
        <v>9060525</v>
      </c>
      <c r="F2327" s="3" t="s">
        <v>7405</v>
      </c>
      <c r="G2327" s="5">
        <v>2610334150</v>
      </c>
      <c r="H2327" s="4" t="s">
        <v>7406</v>
      </c>
      <c r="I2327" s="4" t="s">
        <v>7329</v>
      </c>
      <c r="J2327" s="4" t="s">
        <v>7334</v>
      </c>
      <c r="K2327" s="4" t="s">
        <v>7407</v>
      </c>
      <c r="L2327" s="5">
        <v>26224</v>
      </c>
    </row>
    <row r="2328" spans="1:12" x14ac:dyDescent="0.25">
      <c r="A2328" s="3" t="s">
        <v>6964</v>
      </c>
      <c r="B2328" s="4" t="s">
        <v>7326</v>
      </c>
      <c r="C2328" s="4" t="s">
        <v>14</v>
      </c>
      <c r="D2328" s="4" t="s">
        <v>15</v>
      </c>
      <c r="E2328" s="5" t="str">
        <f>"9060207"</f>
        <v>9060207</v>
      </c>
      <c r="F2328" s="3" t="s">
        <v>7408</v>
      </c>
      <c r="G2328" s="5">
        <v>2610522619</v>
      </c>
      <c r="H2328" s="4" t="s">
        <v>7409</v>
      </c>
      <c r="I2328" s="4" t="s">
        <v>7329</v>
      </c>
      <c r="J2328" s="4" t="s">
        <v>7410</v>
      </c>
      <c r="K2328" s="4" t="s">
        <v>7411</v>
      </c>
      <c r="L2328" s="5">
        <v>26333</v>
      </c>
    </row>
    <row r="2329" spans="1:12" x14ac:dyDescent="0.25">
      <c r="A2329" s="3" t="s">
        <v>6964</v>
      </c>
      <c r="B2329" s="4" t="s">
        <v>7326</v>
      </c>
      <c r="C2329" s="4" t="s">
        <v>14</v>
      </c>
      <c r="D2329" s="4" t="s">
        <v>15</v>
      </c>
      <c r="E2329" s="5" t="str">
        <f>"9060310"</f>
        <v>9060310</v>
      </c>
      <c r="F2329" s="3" t="s">
        <v>7412</v>
      </c>
      <c r="G2329" s="5">
        <v>2610321587</v>
      </c>
      <c r="H2329" s="4" t="s">
        <v>7413</v>
      </c>
      <c r="I2329" s="4" t="s">
        <v>7329</v>
      </c>
      <c r="J2329" s="4" t="s">
        <v>7330</v>
      </c>
      <c r="K2329" s="4" t="s">
        <v>7414</v>
      </c>
      <c r="L2329" s="5">
        <v>26333</v>
      </c>
    </row>
    <row r="2330" spans="1:12" x14ac:dyDescent="0.25">
      <c r="A2330" s="3" t="s">
        <v>6964</v>
      </c>
      <c r="B2330" s="4" t="s">
        <v>7326</v>
      </c>
      <c r="C2330" s="4" t="s">
        <v>14</v>
      </c>
      <c r="D2330" s="4" t="s">
        <v>15</v>
      </c>
      <c r="E2330" s="5" t="str">
        <f>"9060474"</f>
        <v>9060474</v>
      </c>
      <c r="F2330" s="3" t="s">
        <v>7415</v>
      </c>
      <c r="G2330" s="5">
        <v>2610329856</v>
      </c>
      <c r="H2330" s="4" t="s">
        <v>7416</v>
      </c>
      <c r="I2330" s="4" t="s">
        <v>7329</v>
      </c>
      <c r="J2330" s="4" t="s">
        <v>7417</v>
      </c>
      <c r="K2330" s="4" t="s">
        <v>7418</v>
      </c>
      <c r="L2330" s="5">
        <v>26332</v>
      </c>
    </row>
    <row r="2331" spans="1:12" x14ac:dyDescent="0.25">
      <c r="A2331" s="3" t="s">
        <v>6964</v>
      </c>
      <c r="B2331" s="4" t="s">
        <v>7326</v>
      </c>
      <c r="C2331" s="4" t="s">
        <v>25</v>
      </c>
      <c r="D2331" s="4" t="s">
        <v>26</v>
      </c>
      <c r="E2331" s="5" t="str">
        <f>"9060418"</f>
        <v>9060418</v>
      </c>
      <c r="F2331" s="3" t="s">
        <v>7419</v>
      </c>
      <c r="G2331" s="5">
        <v>2691041606</v>
      </c>
      <c r="H2331" s="4" t="s">
        <v>7420</v>
      </c>
      <c r="I2331" s="4" t="s">
        <v>7349</v>
      </c>
      <c r="J2331" s="4" t="s">
        <v>7421</v>
      </c>
      <c r="K2331" s="4" t="s">
        <v>7422</v>
      </c>
      <c r="L2331" s="5">
        <v>25003</v>
      </c>
    </row>
    <row r="2332" spans="1:12" x14ac:dyDescent="0.25">
      <c r="A2332" s="3" t="s">
        <v>6964</v>
      </c>
      <c r="B2332" s="4" t="s">
        <v>7326</v>
      </c>
      <c r="C2332" s="4" t="s">
        <v>25</v>
      </c>
      <c r="D2332" s="4" t="s">
        <v>26</v>
      </c>
      <c r="E2332" s="5" t="str">
        <f>"9060300"</f>
        <v>9060300</v>
      </c>
      <c r="F2332" s="3" t="s">
        <v>7423</v>
      </c>
      <c r="G2332" s="5">
        <v>2610322868</v>
      </c>
      <c r="H2332" s="4" t="s">
        <v>7424</v>
      </c>
      <c r="I2332" s="4" t="s">
        <v>7329</v>
      </c>
      <c r="J2332" s="4" t="s">
        <v>7334</v>
      </c>
      <c r="K2332" s="4" t="s">
        <v>7425</v>
      </c>
      <c r="L2332" s="5">
        <v>26332</v>
      </c>
    </row>
    <row r="2333" spans="1:12" x14ac:dyDescent="0.25">
      <c r="A2333" s="3" t="s">
        <v>6964</v>
      </c>
      <c r="B2333" s="4" t="s">
        <v>7326</v>
      </c>
      <c r="C2333" s="4" t="s">
        <v>25</v>
      </c>
      <c r="D2333" s="4" t="s">
        <v>26</v>
      </c>
      <c r="E2333" s="5" t="str">
        <f>"9060472"</f>
        <v>9060472</v>
      </c>
      <c r="F2333" s="3" t="s">
        <v>7426</v>
      </c>
      <c r="G2333" s="5">
        <v>2696032092</v>
      </c>
      <c r="H2333" s="4" t="s">
        <v>7427</v>
      </c>
      <c r="I2333" s="4" t="s">
        <v>7349</v>
      </c>
      <c r="J2333" s="4" t="s">
        <v>7428</v>
      </c>
      <c r="K2333" s="4" t="s">
        <v>7429</v>
      </c>
      <c r="L2333" s="5">
        <v>25010</v>
      </c>
    </row>
    <row r="2334" spans="1:12" x14ac:dyDescent="0.25">
      <c r="A2334" s="3" t="s">
        <v>6964</v>
      </c>
      <c r="B2334" s="4" t="s">
        <v>7326</v>
      </c>
      <c r="C2334" s="4" t="s">
        <v>25</v>
      </c>
      <c r="D2334" s="4" t="s">
        <v>26</v>
      </c>
      <c r="E2334" s="5" t="str">
        <f>"9060302"</f>
        <v>9060302</v>
      </c>
      <c r="F2334" s="3" t="s">
        <v>7430</v>
      </c>
      <c r="G2334" s="5">
        <v>2610641096</v>
      </c>
      <c r="H2334" s="4" t="s">
        <v>7431</v>
      </c>
      <c r="I2334" s="4" t="s">
        <v>7329</v>
      </c>
      <c r="J2334" s="4" t="s">
        <v>7334</v>
      </c>
      <c r="K2334" s="4" t="s">
        <v>7432</v>
      </c>
      <c r="L2334" s="5">
        <v>26335</v>
      </c>
    </row>
    <row r="2335" spans="1:12" x14ac:dyDescent="0.25">
      <c r="A2335" s="3" t="s">
        <v>6964</v>
      </c>
      <c r="B2335" s="4" t="s">
        <v>7326</v>
      </c>
      <c r="C2335" s="4" t="s">
        <v>25</v>
      </c>
      <c r="D2335" s="4" t="s">
        <v>26</v>
      </c>
      <c r="E2335" s="5" t="str">
        <f>"9060298"</f>
        <v>9060298</v>
      </c>
      <c r="F2335" s="3" t="s">
        <v>7433</v>
      </c>
      <c r="G2335" s="5">
        <v>2610276508</v>
      </c>
      <c r="H2335" s="4" t="s">
        <v>7434</v>
      </c>
      <c r="I2335" s="4" t="s">
        <v>7329</v>
      </c>
      <c r="J2335" s="4" t="s">
        <v>7334</v>
      </c>
      <c r="K2335" s="4" t="s">
        <v>7435</v>
      </c>
      <c r="L2335" s="5">
        <v>26331</v>
      </c>
    </row>
    <row r="2336" spans="1:12" x14ac:dyDescent="0.25">
      <c r="A2336" s="3" t="s">
        <v>6964</v>
      </c>
      <c r="B2336" s="4" t="s">
        <v>7326</v>
      </c>
      <c r="C2336" s="4" t="s">
        <v>14</v>
      </c>
      <c r="D2336" s="4" t="s">
        <v>15</v>
      </c>
      <c r="E2336" s="5" t="str">
        <f>"9060248"</f>
        <v>9060248</v>
      </c>
      <c r="F2336" s="3" t="s">
        <v>7436</v>
      </c>
      <c r="G2336" s="5">
        <v>2610421256</v>
      </c>
      <c r="H2336" s="4" t="s">
        <v>7437</v>
      </c>
      <c r="I2336" s="4" t="s">
        <v>7329</v>
      </c>
      <c r="J2336" s="4" t="s">
        <v>7330</v>
      </c>
      <c r="K2336" s="4" t="s">
        <v>7438</v>
      </c>
      <c r="L2336" s="5">
        <v>26442</v>
      </c>
    </row>
    <row r="2337" spans="1:12" x14ac:dyDescent="0.25">
      <c r="A2337" s="3" t="s">
        <v>6964</v>
      </c>
      <c r="B2337" s="4" t="s">
        <v>7326</v>
      </c>
      <c r="C2337" s="4" t="s">
        <v>25</v>
      </c>
      <c r="D2337" s="4" t="s">
        <v>26</v>
      </c>
      <c r="E2337" s="5" t="str">
        <f>"9060409"</f>
        <v>9060409</v>
      </c>
      <c r="F2337" s="3" t="s">
        <v>7439</v>
      </c>
      <c r="G2337" s="5">
        <v>2693360533</v>
      </c>
      <c r="H2337" s="4" t="s">
        <v>7440</v>
      </c>
      <c r="I2337" s="4" t="s">
        <v>7377</v>
      </c>
      <c r="J2337" s="4" t="s">
        <v>7441</v>
      </c>
      <c r="K2337" s="4" t="s">
        <v>7442</v>
      </c>
      <c r="L2337" s="5">
        <v>25200</v>
      </c>
    </row>
    <row r="2338" spans="1:12" x14ac:dyDescent="0.25">
      <c r="A2338" s="3" t="s">
        <v>6964</v>
      </c>
      <c r="B2338" s="4" t="s">
        <v>7326</v>
      </c>
      <c r="C2338" s="4" t="s">
        <v>25</v>
      </c>
      <c r="D2338" s="4" t="s">
        <v>26</v>
      </c>
      <c r="E2338" s="5" t="str">
        <f>"9060299"</f>
        <v>9060299</v>
      </c>
      <c r="F2338" s="3" t="s">
        <v>7443</v>
      </c>
      <c r="G2338" s="5">
        <v>2610625873</v>
      </c>
      <c r="H2338" s="4" t="s">
        <v>7444</v>
      </c>
      <c r="I2338" s="4" t="s">
        <v>7329</v>
      </c>
      <c r="J2338" s="4" t="s">
        <v>7334</v>
      </c>
      <c r="K2338" s="4" t="s">
        <v>7445</v>
      </c>
      <c r="L2338" s="5">
        <v>26331</v>
      </c>
    </row>
    <row r="2339" spans="1:12" x14ac:dyDescent="0.25">
      <c r="A2339" s="3" t="s">
        <v>6964</v>
      </c>
      <c r="B2339" s="4" t="s">
        <v>7326</v>
      </c>
      <c r="C2339" s="4" t="s">
        <v>25</v>
      </c>
      <c r="D2339" s="4" t="s">
        <v>26</v>
      </c>
      <c r="E2339" s="5" t="str">
        <f>"9060471"</f>
        <v>9060471</v>
      </c>
      <c r="F2339" s="3" t="s">
        <v>7446</v>
      </c>
      <c r="G2339" s="5">
        <v>2691029520</v>
      </c>
      <c r="H2339" s="4" t="s">
        <v>7447</v>
      </c>
      <c r="I2339" s="4" t="s">
        <v>7349</v>
      </c>
      <c r="J2339" s="4" t="s">
        <v>7448</v>
      </c>
      <c r="K2339" s="4" t="s">
        <v>7449</v>
      </c>
      <c r="L2339" s="5">
        <v>25100</v>
      </c>
    </row>
    <row r="2340" spans="1:12" x14ac:dyDescent="0.25">
      <c r="A2340" s="3" t="s">
        <v>6964</v>
      </c>
      <c r="B2340" s="4" t="s">
        <v>7326</v>
      </c>
      <c r="C2340" s="4" t="s">
        <v>25</v>
      </c>
      <c r="D2340" s="4" t="s">
        <v>26</v>
      </c>
      <c r="E2340" s="5" t="str">
        <f>"9060457"</f>
        <v>9060457</v>
      </c>
      <c r="F2340" s="3" t="s">
        <v>7450</v>
      </c>
      <c r="G2340" s="5">
        <v>2610528970</v>
      </c>
      <c r="H2340" s="4" t="s">
        <v>7451</v>
      </c>
      <c r="I2340" s="4" t="s">
        <v>7329</v>
      </c>
      <c r="J2340" s="4" t="s">
        <v>7452</v>
      </c>
      <c r="K2340" s="4" t="s">
        <v>7453</v>
      </c>
      <c r="L2340" s="5">
        <v>26500</v>
      </c>
    </row>
    <row r="2341" spans="1:12" ht="30" x14ac:dyDescent="0.25">
      <c r="A2341" s="3" t="s">
        <v>6964</v>
      </c>
      <c r="B2341" s="4" t="s">
        <v>7326</v>
      </c>
      <c r="C2341" s="4" t="s">
        <v>14</v>
      </c>
      <c r="D2341" s="4" t="s">
        <v>15</v>
      </c>
      <c r="E2341" s="5" t="str">
        <f>"9060070"</f>
        <v>9060070</v>
      </c>
      <c r="F2341" s="3" t="s">
        <v>7454</v>
      </c>
      <c r="G2341" s="5">
        <v>2692024516</v>
      </c>
      <c r="H2341" s="4" t="s">
        <v>7455</v>
      </c>
      <c r="I2341" s="4" t="s">
        <v>7456</v>
      </c>
      <c r="J2341" s="4" t="s">
        <v>7457</v>
      </c>
      <c r="K2341" s="4" t="s">
        <v>7458</v>
      </c>
      <c r="L2341" s="5">
        <v>25001</v>
      </c>
    </row>
    <row r="2342" spans="1:12" x14ac:dyDescent="0.25">
      <c r="A2342" s="3" t="s">
        <v>6964</v>
      </c>
      <c r="B2342" s="4" t="s">
        <v>7326</v>
      </c>
      <c r="C2342" s="4" t="s">
        <v>25</v>
      </c>
      <c r="D2342" s="4" t="s">
        <v>26</v>
      </c>
      <c r="E2342" s="5" t="str">
        <f>"9060410"</f>
        <v>9060410</v>
      </c>
      <c r="F2342" s="3" t="s">
        <v>7459</v>
      </c>
      <c r="G2342" s="5">
        <v>2610277218</v>
      </c>
      <c r="H2342" s="4" t="s">
        <v>7460</v>
      </c>
      <c r="I2342" s="4" t="s">
        <v>7329</v>
      </c>
      <c r="J2342" s="4" t="s">
        <v>7334</v>
      </c>
      <c r="K2342" s="4" t="s">
        <v>7461</v>
      </c>
      <c r="L2342" s="5">
        <v>26334</v>
      </c>
    </row>
    <row r="2343" spans="1:12" x14ac:dyDescent="0.25">
      <c r="A2343" s="3" t="s">
        <v>6964</v>
      </c>
      <c r="B2343" s="4" t="s">
        <v>7326</v>
      </c>
      <c r="C2343" s="4" t="s">
        <v>14</v>
      </c>
      <c r="D2343" s="4" t="s">
        <v>15</v>
      </c>
      <c r="E2343" s="5" t="str">
        <f>"9060239"</f>
        <v>9060239</v>
      </c>
      <c r="F2343" s="3" t="s">
        <v>7462</v>
      </c>
      <c r="G2343" s="5">
        <v>2610421286</v>
      </c>
      <c r="H2343" s="4" t="s">
        <v>7463</v>
      </c>
      <c r="I2343" s="4" t="s">
        <v>7329</v>
      </c>
      <c r="J2343" s="4" t="s">
        <v>7353</v>
      </c>
      <c r="K2343" s="4" t="s">
        <v>7464</v>
      </c>
      <c r="L2343" s="5">
        <v>26441</v>
      </c>
    </row>
    <row r="2344" spans="1:12" x14ac:dyDescent="0.25">
      <c r="A2344" s="3" t="s">
        <v>6964</v>
      </c>
      <c r="B2344" s="4" t="s">
        <v>7326</v>
      </c>
      <c r="C2344" s="4" t="s">
        <v>14</v>
      </c>
      <c r="D2344" s="4" t="s">
        <v>15</v>
      </c>
      <c r="E2344" s="5" t="str">
        <f>"9060247"</f>
        <v>9060247</v>
      </c>
      <c r="F2344" s="3" t="s">
        <v>7465</v>
      </c>
      <c r="G2344" s="5">
        <v>2610425467</v>
      </c>
      <c r="H2344" s="4" t="s">
        <v>7466</v>
      </c>
      <c r="I2344" s="4" t="s">
        <v>7329</v>
      </c>
      <c r="J2344" s="4" t="s">
        <v>7338</v>
      </c>
      <c r="K2344" s="4" t="s">
        <v>7467</v>
      </c>
      <c r="L2344" s="5">
        <v>26441</v>
      </c>
    </row>
    <row r="2345" spans="1:12" x14ac:dyDescent="0.25">
      <c r="A2345" s="3" t="s">
        <v>6964</v>
      </c>
      <c r="B2345" s="4" t="s">
        <v>7326</v>
      </c>
      <c r="C2345" s="4" t="s">
        <v>25</v>
      </c>
      <c r="D2345" s="4" t="s">
        <v>26</v>
      </c>
      <c r="E2345" s="5" t="str">
        <f>"9060414"</f>
        <v>9060414</v>
      </c>
      <c r="F2345" s="3" t="s">
        <v>7468</v>
      </c>
      <c r="G2345" s="5">
        <v>2610270336</v>
      </c>
      <c r="H2345" s="4" t="s">
        <v>7469</v>
      </c>
      <c r="I2345" s="4" t="s">
        <v>7329</v>
      </c>
      <c r="J2345" s="4" t="s">
        <v>7334</v>
      </c>
      <c r="K2345" s="4" t="s">
        <v>7470</v>
      </c>
      <c r="L2345" s="5">
        <v>26335</v>
      </c>
    </row>
    <row r="2346" spans="1:12" x14ac:dyDescent="0.25">
      <c r="A2346" s="3" t="s">
        <v>6964</v>
      </c>
      <c r="B2346" s="4" t="s">
        <v>7326</v>
      </c>
      <c r="C2346" s="4" t="s">
        <v>25</v>
      </c>
      <c r="D2346" s="4" t="s">
        <v>26</v>
      </c>
      <c r="E2346" s="5" t="str">
        <f>"9060462"</f>
        <v>9060462</v>
      </c>
      <c r="F2346" s="3" t="s">
        <v>7471</v>
      </c>
      <c r="G2346" s="5">
        <v>2610327312</v>
      </c>
      <c r="H2346" s="4" t="s">
        <v>7472</v>
      </c>
      <c r="I2346" s="4" t="s">
        <v>7329</v>
      </c>
      <c r="J2346" s="4" t="s">
        <v>7334</v>
      </c>
      <c r="K2346" s="4" t="s">
        <v>7473</v>
      </c>
      <c r="L2346" s="5">
        <v>26226</v>
      </c>
    </row>
    <row r="2347" spans="1:12" x14ac:dyDescent="0.25">
      <c r="A2347" s="3" t="s">
        <v>6964</v>
      </c>
      <c r="B2347" s="4" t="s">
        <v>7326</v>
      </c>
      <c r="C2347" s="4" t="s">
        <v>25</v>
      </c>
      <c r="D2347" s="4" t="s">
        <v>26</v>
      </c>
      <c r="E2347" s="5" t="str">
        <f>"9060453"</f>
        <v>9060453</v>
      </c>
      <c r="F2347" s="3" t="s">
        <v>7474</v>
      </c>
      <c r="G2347" s="5">
        <v>2691032336</v>
      </c>
      <c r="H2347" s="4" t="s">
        <v>7475</v>
      </c>
      <c r="I2347" s="4" t="s">
        <v>7349</v>
      </c>
      <c r="J2347" s="4" t="s">
        <v>7476</v>
      </c>
      <c r="K2347" s="4" t="s">
        <v>6603</v>
      </c>
      <c r="L2347" s="5">
        <v>25009</v>
      </c>
    </row>
    <row r="2348" spans="1:12" x14ac:dyDescent="0.25">
      <c r="A2348" s="3" t="s">
        <v>6964</v>
      </c>
      <c r="B2348" s="4" t="s">
        <v>7326</v>
      </c>
      <c r="C2348" s="4" t="s">
        <v>25</v>
      </c>
      <c r="D2348" s="4" t="s">
        <v>26</v>
      </c>
      <c r="E2348" s="5" t="str">
        <f>"9060537"</f>
        <v>9060537</v>
      </c>
      <c r="F2348" s="3" t="s">
        <v>7477</v>
      </c>
      <c r="G2348" s="5">
        <v>2610310058</v>
      </c>
      <c r="H2348" s="4" t="s">
        <v>7478</v>
      </c>
      <c r="I2348" s="4" t="s">
        <v>7329</v>
      </c>
      <c r="J2348" s="4" t="s">
        <v>7334</v>
      </c>
      <c r="K2348" s="4" t="s">
        <v>7479</v>
      </c>
      <c r="L2348" s="5">
        <v>26334</v>
      </c>
    </row>
    <row r="2349" spans="1:12" x14ac:dyDescent="0.25">
      <c r="A2349" s="3" t="s">
        <v>6964</v>
      </c>
      <c r="B2349" s="4" t="s">
        <v>7326</v>
      </c>
      <c r="C2349" s="4" t="s">
        <v>25</v>
      </c>
      <c r="D2349" s="4" t="s">
        <v>26</v>
      </c>
      <c r="E2349" s="5" t="str">
        <f>"9060577"</f>
        <v>9060577</v>
      </c>
      <c r="F2349" s="3" t="s">
        <v>7480</v>
      </c>
      <c r="G2349" s="5">
        <v>2610338005</v>
      </c>
      <c r="H2349" s="4" t="s">
        <v>7481</v>
      </c>
      <c r="I2349" s="4" t="s">
        <v>7329</v>
      </c>
      <c r="J2349" s="4" t="s">
        <v>7334</v>
      </c>
      <c r="K2349" s="4" t="s">
        <v>7482</v>
      </c>
      <c r="L2349" s="5">
        <v>26333</v>
      </c>
    </row>
    <row r="2350" spans="1:12" x14ac:dyDescent="0.25">
      <c r="A2350" s="3" t="s">
        <v>6964</v>
      </c>
      <c r="B2350" s="4" t="s">
        <v>7326</v>
      </c>
      <c r="C2350" s="4" t="s">
        <v>25</v>
      </c>
      <c r="D2350" s="4" t="s">
        <v>26</v>
      </c>
      <c r="E2350" s="5" t="str">
        <f>"9060391"</f>
        <v>9060391</v>
      </c>
      <c r="F2350" s="3" t="s">
        <v>7483</v>
      </c>
      <c r="G2350" s="5">
        <v>2610322350</v>
      </c>
      <c r="H2350" s="4" t="s">
        <v>7484</v>
      </c>
      <c r="I2350" s="4" t="s">
        <v>7329</v>
      </c>
      <c r="J2350" s="4" t="s">
        <v>7334</v>
      </c>
      <c r="K2350" s="4" t="s">
        <v>7485</v>
      </c>
      <c r="L2350" s="5">
        <v>26334</v>
      </c>
    </row>
    <row r="2351" spans="1:12" x14ac:dyDescent="0.25">
      <c r="A2351" s="3" t="s">
        <v>6964</v>
      </c>
      <c r="B2351" s="4" t="s">
        <v>7326</v>
      </c>
      <c r="C2351" s="4" t="s">
        <v>14</v>
      </c>
      <c r="D2351" s="4" t="s">
        <v>15</v>
      </c>
      <c r="E2351" s="5" t="str">
        <f>"9060185"</f>
        <v>9060185</v>
      </c>
      <c r="F2351" s="3" t="s">
        <v>7486</v>
      </c>
      <c r="G2351" s="5">
        <v>2693051761</v>
      </c>
      <c r="H2351" s="4" t="s">
        <v>7487</v>
      </c>
      <c r="I2351" s="4" t="s">
        <v>7377</v>
      </c>
      <c r="J2351" s="4" t="s">
        <v>7488</v>
      </c>
      <c r="K2351" s="4" t="s">
        <v>7488</v>
      </c>
      <c r="L2351" s="5">
        <v>25200</v>
      </c>
    </row>
    <row r="2352" spans="1:12" x14ac:dyDescent="0.25">
      <c r="A2352" s="3" t="s">
        <v>6964</v>
      </c>
      <c r="B2352" s="4" t="s">
        <v>7326</v>
      </c>
      <c r="C2352" s="4" t="s">
        <v>25</v>
      </c>
      <c r="D2352" s="4" t="s">
        <v>26</v>
      </c>
      <c r="E2352" s="5" t="str">
        <f>"9060513"</f>
        <v>9060513</v>
      </c>
      <c r="F2352" s="3" t="s">
        <v>7489</v>
      </c>
      <c r="G2352" s="5">
        <v>2691073314</v>
      </c>
      <c r="H2352" s="4" t="s">
        <v>7490</v>
      </c>
      <c r="I2352" s="4" t="s">
        <v>7349</v>
      </c>
      <c r="J2352" s="4" t="s">
        <v>7491</v>
      </c>
      <c r="K2352" s="4" t="s">
        <v>7492</v>
      </c>
      <c r="L2352" s="5">
        <v>25100</v>
      </c>
    </row>
    <row r="2353" spans="1:12" ht="30" x14ac:dyDescent="0.25">
      <c r="A2353" s="3" t="s">
        <v>6964</v>
      </c>
      <c r="B2353" s="4" t="s">
        <v>7326</v>
      </c>
      <c r="C2353" s="4" t="s">
        <v>25</v>
      </c>
      <c r="D2353" s="4" t="s">
        <v>7493</v>
      </c>
      <c r="E2353" s="5" t="str">
        <f>"9060552"</f>
        <v>9060552</v>
      </c>
      <c r="F2353" s="3" t="s">
        <v>7494</v>
      </c>
      <c r="G2353" s="5">
        <v>2610992953</v>
      </c>
      <c r="H2353" s="4" t="s">
        <v>7495</v>
      </c>
      <c r="I2353" s="4" t="s">
        <v>7329</v>
      </c>
      <c r="J2353" s="4" t="s">
        <v>7334</v>
      </c>
      <c r="K2353" s="4" t="s">
        <v>7496</v>
      </c>
      <c r="L2353" s="5">
        <v>26500</v>
      </c>
    </row>
    <row r="2354" spans="1:12" x14ac:dyDescent="0.25">
      <c r="A2354" s="3" t="s">
        <v>6964</v>
      </c>
      <c r="B2354" s="4" t="s">
        <v>7326</v>
      </c>
      <c r="C2354" s="4" t="s">
        <v>14</v>
      </c>
      <c r="D2354" s="4" t="s">
        <v>15</v>
      </c>
      <c r="E2354" s="5" t="str">
        <f>"9060221"</f>
        <v>9060221</v>
      </c>
      <c r="F2354" s="3" t="s">
        <v>7497</v>
      </c>
      <c r="G2354" s="5">
        <v>2693041294</v>
      </c>
      <c r="H2354" s="4" t="s">
        <v>7498</v>
      </c>
      <c r="I2354" s="4" t="s">
        <v>7377</v>
      </c>
      <c r="J2354" s="4" t="s">
        <v>7499</v>
      </c>
      <c r="K2354" s="4" t="s">
        <v>7500</v>
      </c>
      <c r="L2354" s="5">
        <v>25002</v>
      </c>
    </row>
    <row r="2355" spans="1:12" x14ac:dyDescent="0.25">
      <c r="A2355" s="3" t="s">
        <v>6964</v>
      </c>
      <c r="B2355" s="4" t="s">
        <v>7326</v>
      </c>
      <c r="C2355" s="4" t="s">
        <v>25</v>
      </c>
      <c r="D2355" s="4" t="s">
        <v>26</v>
      </c>
      <c r="E2355" s="5" t="str">
        <f>"9060141"</f>
        <v>9060141</v>
      </c>
      <c r="F2355" s="3" t="s">
        <v>7501</v>
      </c>
      <c r="G2355" s="5">
        <v>2610274751</v>
      </c>
      <c r="H2355" s="4" t="s">
        <v>7502</v>
      </c>
      <c r="I2355" s="4" t="s">
        <v>7329</v>
      </c>
      <c r="J2355" s="4" t="s">
        <v>7334</v>
      </c>
      <c r="K2355" s="4" t="s">
        <v>7503</v>
      </c>
      <c r="L2355" s="5">
        <v>26225</v>
      </c>
    </row>
    <row r="2356" spans="1:12" x14ac:dyDescent="0.25">
      <c r="A2356" s="3" t="s">
        <v>6964</v>
      </c>
      <c r="B2356" s="4" t="s">
        <v>7326</v>
      </c>
      <c r="C2356" s="4" t="s">
        <v>25</v>
      </c>
      <c r="D2356" s="4" t="s">
        <v>26</v>
      </c>
      <c r="E2356" s="5" t="str">
        <f>"9060232"</f>
        <v>9060232</v>
      </c>
      <c r="F2356" s="3" t="s">
        <v>7504</v>
      </c>
      <c r="G2356" s="5">
        <v>2610225589</v>
      </c>
      <c r="H2356" s="4" t="s">
        <v>7505</v>
      </c>
      <c r="I2356" s="4" t="s">
        <v>7329</v>
      </c>
      <c r="J2356" s="4"/>
      <c r="K2356" s="4" t="s">
        <v>7506</v>
      </c>
      <c r="L2356" s="5">
        <v>26223</v>
      </c>
    </row>
    <row r="2357" spans="1:12" x14ac:dyDescent="0.25">
      <c r="A2357" s="3" t="s">
        <v>6964</v>
      </c>
      <c r="B2357" s="4" t="s">
        <v>7326</v>
      </c>
      <c r="C2357" s="4" t="s">
        <v>14</v>
      </c>
      <c r="D2357" s="4" t="s">
        <v>15</v>
      </c>
      <c r="E2357" s="5" t="str">
        <f>"9060449"</f>
        <v>9060449</v>
      </c>
      <c r="F2357" s="3" t="s">
        <v>7507</v>
      </c>
      <c r="G2357" s="5">
        <v>2610329427</v>
      </c>
      <c r="H2357" s="4" t="s">
        <v>7508</v>
      </c>
      <c r="I2357" s="4" t="s">
        <v>7329</v>
      </c>
      <c r="J2357" s="4" t="s">
        <v>7509</v>
      </c>
      <c r="K2357" s="4" t="s">
        <v>7510</v>
      </c>
      <c r="L2357" s="5">
        <v>26332</v>
      </c>
    </row>
    <row r="2358" spans="1:12" x14ac:dyDescent="0.25">
      <c r="A2358" s="3" t="s">
        <v>6964</v>
      </c>
      <c r="B2358" s="4" t="s">
        <v>7326</v>
      </c>
      <c r="C2358" s="4" t="s">
        <v>14</v>
      </c>
      <c r="D2358" s="4" t="s">
        <v>15</v>
      </c>
      <c r="E2358" s="5" t="str">
        <f>"9060146"</f>
        <v>9060146</v>
      </c>
      <c r="F2358" s="3" t="s">
        <v>7511</v>
      </c>
      <c r="G2358" s="5">
        <v>2610520107</v>
      </c>
      <c r="H2358" s="4" t="s">
        <v>7512</v>
      </c>
      <c r="I2358" s="4" t="s">
        <v>7329</v>
      </c>
      <c r="J2358" s="4" t="s">
        <v>7338</v>
      </c>
      <c r="K2358" s="4" t="s">
        <v>7513</v>
      </c>
      <c r="L2358" s="5">
        <v>26333</v>
      </c>
    </row>
    <row r="2359" spans="1:12" x14ac:dyDescent="0.25">
      <c r="A2359" s="3" t="s">
        <v>6964</v>
      </c>
      <c r="B2359" s="4" t="s">
        <v>7326</v>
      </c>
      <c r="C2359" s="4" t="s">
        <v>25</v>
      </c>
      <c r="D2359" s="4" t="s">
        <v>26</v>
      </c>
      <c r="E2359" s="5" t="str">
        <f>"9060506"</f>
        <v>9060506</v>
      </c>
      <c r="F2359" s="3" t="s">
        <v>7514</v>
      </c>
      <c r="G2359" s="5">
        <v>2610523964</v>
      </c>
      <c r="H2359" s="4" t="s">
        <v>7515</v>
      </c>
      <c r="I2359" s="4" t="s">
        <v>7329</v>
      </c>
      <c r="J2359" s="4" t="s">
        <v>7516</v>
      </c>
      <c r="K2359" s="4" t="s">
        <v>7517</v>
      </c>
      <c r="L2359" s="5">
        <v>26500</v>
      </c>
    </row>
    <row r="2360" spans="1:12" x14ac:dyDescent="0.25">
      <c r="A2360" s="3" t="s">
        <v>6964</v>
      </c>
      <c r="B2360" s="4" t="s">
        <v>7326</v>
      </c>
      <c r="C2360" s="4" t="s">
        <v>14</v>
      </c>
      <c r="D2360" s="4" t="s">
        <v>15</v>
      </c>
      <c r="E2360" s="5" t="str">
        <f>"9060330"</f>
        <v>9060330</v>
      </c>
      <c r="F2360" s="3" t="s">
        <v>7518</v>
      </c>
      <c r="G2360" s="5">
        <v>2694061443</v>
      </c>
      <c r="H2360" s="4" t="s">
        <v>7519</v>
      </c>
      <c r="I2360" s="4" t="s">
        <v>7520</v>
      </c>
      <c r="J2360" s="4" t="s">
        <v>7521</v>
      </c>
      <c r="K2360" s="4" t="s">
        <v>7522</v>
      </c>
      <c r="L2360" s="5">
        <v>25008</v>
      </c>
    </row>
    <row r="2361" spans="1:12" x14ac:dyDescent="0.25">
      <c r="A2361" s="3" t="s">
        <v>6964</v>
      </c>
      <c r="B2361" s="4" t="s">
        <v>7326</v>
      </c>
      <c r="C2361" s="4" t="s">
        <v>14</v>
      </c>
      <c r="D2361" s="4" t="s">
        <v>15</v>
      </c>
      <c r="E2361" s="5" t="str">
        <f>"9060250"</f>
        <v>9060250</v>
      </c>
      <c r="F2361" s="3" t="s">
        <v>7523</v>
      </c>
      <c r="G2361" s="5">
        <v>2610328877</v>
      </c>
      <c r="H2361" s="4" t="s">
        <v>7524</v>
      </c>
      <c r="I2361" s="4" t="s">
        <v>7329</v>
      </c>
      <c r="J2361" s="4" t="s">
        <v>7353</v>
      </c>
      <c r="K2361" s="4" t="s">
        <v>7525</v>
      </c>
      <c r="L2361" s="5">
        <v>26334</v>
      </c>
    </row>
    <row r="2362" spans="1:12" x14ac:dyDescent="0.25">
      <c r="A2362" s="3" t="s">
        <v>6964</v>
      </c>
      <c r="B2362" s="4" t="s">
        <v>7326</v>
      </c>
      <c r="C2362" s="4" t="s">
        <v>14</v>
      </c>
      <c r="D2362" s="4" t="s">
        <v>15</v>
      </c>
      <c r="E2362" s="5" t="str">
        <f>"9060309"</f>
        <v>9060309</v>
      </c>
      <c r="F2362" s="3" t="s">
        <v>7526</v>
      </c>
      <c r="G2362" s="5">
        <v>2610271857</v>
      </c>
      <c r="H2362" s="4" t="s">
        <v>7527</v>
      </c>
      <c r="I2362" s="4" t="s">
        <v>7329</v>
      </c>
      <c r="J2362" s="4" t="s">
        <v>7330</v>
      </c>
      <c r="K2362" s="4" t="s">
        <v>7528</v>
      </c>
      <c r="L2362" s="5">
        <v>26335</v>
      </c>
    </row>
    <row r="2363" spans="1:12" x14ac:dyDescent="0.25">
      <c r="A2363" s="3" t="s">
        <v>6964</v>
      </c>
      <c r="B2363" s="4" t="s">
        <v>7326</v>
      </c>
      <c r="C2363" s="4" t="s">
        <v>25</v>
      </c>
      <c r="D2363" s="4" t="s">
        <v>26</v>
      </c>
      <c r="E2363" s="5" t="str">
        <f>"9060002"</f>
        <v>9060002</v>
      </c>
      <c r="F2363" s="3" t="s">
        <v>7529</v>
      </c>
      <c r="G2363" s="5">
        <v>2691027019</v>
      </c>
      <c r="H2363" s="4" t="s">
        <v>7530</v>
      </c>
      <c r="I2363" s="4" t="s">
        <v>7349</v>
      </c>
      <c r="J2363" s="4" t="s">
        <v>7531</v>
      </c>
      <c r="K2363" s="4" t="s">
        <v>7532</v>
      </c>
      <c r="L2363" s="5">
        <v>25100</v>
      </c>
    </row>
    <row r="2364" spans="1:12" x14ac:dyDescent="0.25">
      <c r="A2364" s="3" t="s">
        <v>6964</v>
      </c>
      <c r="B2364" s="4" t="s">
        <v>7326</v>
      </c>
      <c r="C2364" s="4" t="s">
        <v>25</v>
      </c>
      <c r="D2364" s="4" t="s">
        <v>26</v>
      </c>
      <c r="E2364" s="5" t="str">
        <f>"9060003"</f>
        <v>9060003</v>
      </c>
      <c r="F2364" s="3" t="s">
        <v>7533</v>
      </c>
      <c r="G2364" s="5">
        <v>2691360505</v>
      </c>
      <c r="H2364" s="4" t="s">
        <v>7534</v>
      </c>
      <c r="I2364" s="4" t="s">
        <v>7349</v>
      </c>
      <c r="J2364" s="4" t="s">
        <v>7531</v>
      </c>
      <c r="K2364" s="4" t="s">
        <v>7535</v>
      </c>
      <c r="L2364" s="5">
        <v>25100</v>
      </c>
    </row>
    <row r="2365" spans="1:12" x14ac:dyDescent="0.25">
      <c r="A2365" s="3" t="s">
        <v>6964</v>
      </c>
      <c r="B2365" s="4" t="s">
        <v>7326</v>
      </c>
      <c r="C2365" s="4" t="s">
        <v>14</v>
      </c>
      <c r="D2365" s="4" t="s">
        <v>15</v>
      </c>
      <c r="E2365" s="5" t="str">
        <f>"9060263"</f>
        <v>9060263</v>
      </c>
      <c r="F2365" s="3" t="s">
        <v>7536</v>
      </c>
      <c r="G2365" s="5">
        <v>2610991447</v>
      </c>
      <c r="H2365" s="4" t="s">
        <v>7537</v>
      </c>
      <c r="I2365" s="4" t="s">
        <v>7329</v>
      </c>
      <c r="J2365" s="4" t="s">
        <v>7538</v>
      </c>
      <c r="K2365" s="4" t="s">
        <v>7539</v>
      </c>
      <c r="L2365" s="5">
        <v>26504</v>
      </c>
    </row>
    <row r="2366" spans="1:12" x14ac:dyDescent="0.25">
      <c r="A2366" s="3" t="s">
        <v>6964</v>
      </c>
      <c r="B2366" s="4" t="s">
        <v>7326</v>
      </c>
      <c r="C2366" s="4" t="s">
        <v>25</v>
      </c>
      <c r="D2366" s="4" t="s">
        <v>26</v>
      </c>
      <c r="E2366" s="5" t="str">
        <f>"9060397"</f>
        <v>9060397</v>
      </c>
      <c r="F2366" s="3" t="s">
        <v>7540</v>
      </c>
      <c r="G2366" s="5">
        <v>2691027420</v>
      </c>
      <c r="H2366" s="4" t="s">
        <v>7541</v>
      </c>
      <c r="I2366" s="4" t="s">
        <v>7349</v>
      </c>
      <c r="J2366" s="4" t="s">
        <v>7531</v>
      </c>
      <c r="K2366" s="4" t="s">
        <v>7542</v>
      </c>
      <c r="L2366" s="5">
        <v>25100</v>
      </c>
    </row>
    <row r="2367" spans="1:12" ht="30" x14ac:dyDescent="0.25">
      <c r="A2367" s="3" t="s">
        <v>6964</v>
      </c>
      <c r="B2367" s="4" t="s">
        <v>7326</v>
      </c>
      <c r="C2367" s="4" t="s">
        <v>14</v>
      </c>
      <c r="D2367" s="4" t="s">
        <v>15</v>
      </c>
      <c r="E2367" s="5" t="str">
        <f>"9060008"</f>
        <v>9060008</v>
      </c>
      <c r="F2367" s="3" t="s">
        <v>7543</v>
      </c>
      <c r="G2367" s="5">
        <v>2691360506</v>
      </c>
      <c r="H2367" s="4" t="s">
        <v>7544</v>
      </c>
      <c r="I2367" s="4" t="s">
        <v>7349</v>
      </c>
      <c r="J2367" s="4" t="s">
        <v>7545</v>
      </c>
      <c r="K2367" s="4" t="s">
        <v>7546</v>
      </c>
      <c r="L2367" s="5">
        <v>25100</v>
      </c>
    </row>
    <row r="2368" spans="1:12" x14ac:dyDescent="0.25">
      <c r="A2368" s="3" t="s">
        <v>6964</v>
      </c>
      <c r="B2368" s="4" t="s">
        <v>7326</v>
      </c>
      <c r="C2368" s="4" t="s">
        <v>14</v>
      </c>
      <c r="D2368" s="4" t="s">
        <v>15</v>
      </c>
      <c r="E2368" s="5" t="str">
        <f>"9060157"</f>
        <v>9060157</v>
      </c>
      <c r="F2368" s="3" t="s">
        <v>7547</v>
      </c>
      <c r="G2368" s="5">
        <v>2610322077</v>
      </c>
      <c r="H2368" s="4" t="s">
        <v>7548</v>
      </c>
      <c r="I2368" s="4" t="s">
        <v>7329</v>
      </c>
      <c r="J2368" s="4" t="s">
        <v>7330</v>
      </c>
      <c r="K2368" s="4" t="s">
        <v>7549</v>
      </c>
      <c r="L2368" s="5">
        <v>26222</v>
      </c>
    </row>
    <row r="2369" spans="1:12" x14ac:dyDescent="0.25">
      <c r="A2369" s="3" t="s">
        <v>6964</v>
      </c>
      <c r="B2369" s="4" t="s">
        <v>7326</v>
      </c>
      <c r="C2369" s="4" t="s">
        <v>14</v>
      </c>
      <c r="D2369" s="4" t="s">
        <v>15</v>
      </c>
      <c r="E2369" s="5" t="str">
        <f>"9060576"</f>
        <v>9060576</v>
      </c>
      <c r="F2369" s="3" t="s">
        <v>7550</v>
      </c>
      <c r="G2369" s="5">
        <v>2610333312</v>
      </c>
      <c r="H2369" s="4" t="s">
        <v>7551</v>
      </c>
      <c r="I2369" s="4" t="s">
        <v>7329</v>
      </c>
      <c r="J2369" s="4" t="s">
        <v>7330</v>
      </c>
      <c r="K2369" s="4" t="s">
        <v>7482</v>
      </c>
      <c r="L2369" s="5">
        <v>26333</v>
      </c>
    </row>
    <row r="2370" spans="1:12" x14ac:dyDescent="0.25">
      <c r="A2370" s="3" t="s">
        <v>6964</v>
      </c>
      <c r="B2370" s="4" t="s">
        <v>7326</v>
      </c>
      <c r="C2370" s="4" t="s">
        <v>25</v>
      </c>
      <c r="D2370" s="4" t="s">
        <v>26</v>
      </c>
      <c r="E2370" s="5" t="str">
        <f>"9060416"</f>
        <v>9060416</v>
      </c>
      <c r="F2370" s="3" t="s">
        <v>7552</v>
      </c>
      <c r="G2370" s="5">
        <v>2691029400</v>
      </c>
      <c r="H2370" s="4" t="s">
        <v>7553</v>
      </c>
      <c r="I2370" s="4" t="s">
        <v>7349</v>
      </c>
      <c r="J2370" s="4" t="s">
        <v>7531</v>
      </c>
      <c r="K2370" s="4" t="s">
        <v>7554</v>
      </c>
      <c r="L2370" s="5">
        <v>25100</v>
      </c>
    </row>
    <row r="2371" spans="1:12" x14ac:dyDescent="0.25">
      <c r="A2371" s="3" t="s">
        <v>6964</v>
      </c>
      <c r="B2371" s="4" t="s">
        <v>7326</v>
      </c>
      <c r="C2371" s="4" t="s">
        <v>25</v>
      </c>
      <c r="D2371" s="4" t="s">
        <v>26</v>
      </c>
      <c r="E2371" s="5" t="str">
        <f>"9060417"</f>
        <v>9060417</v>
      </c>
      <c r="F2371" s="3" t="s">
        <v>7555</v>
      </c>
      <c r="G2371" s="5">
        <v>2691025882</v>
      </c>
      <c r="H2371" s="4" t="s">
        <v>7556</v>
      </c>
      <c r="I2371" s="4" t="s">
        <v>7349</v>
      </c>
      <c r="J2371" s="4" t="s">
        <v>7531</v>
      </c>
      <c r="K2371" s="4" t="s">
        <v>7557</v>
      </c>
      <c r="L2371" s="5">
        <v>25100</v>
      </c>
    </row>
    <row r="2372" spans="1:12" x14ac:dyDescent="0.25">
      <c r="A2372" s="3" t="s">
        <v>6964</v>
      </c>
      <c r="B2372" s="4" t="s">
        <v>7326</v>
      </c>
      <c r="C2372" s="4" t="s">
        <v>25</v>
      </c>
      <c r="D2372" s="4" t="s">
        <v>26</v>
      </c>
      <c r="E2372" s="5" t="str">
        <f>"9060540"</f>
        <v>9060540</v>
      </c>
      <c r="F2372" s="3" t="s">
        <v>7558</v>
      </c>
      <c r="G2372" s="5">
        <v>2691026508</v>
      </c>
      <c r="H2372" s="4" t="s">
        <v>7559</v>
      </c>
      <c r="I2372" s="4" t="s">
        <v>7349</v>
      </c>
      <c r="J2372" s="4" t="s">
        <v>7531</v>
      </c>
      <c r="K2372" s="4" t="s">
        <v>7560</v>
      </c>
      <c r="L2372" s="5">
        <v>25100</v>
      </c>
    </row>
    <row r="2373" spans="1:12" x14ac:dyDescent="0.25">
      <c r="A2373" s="3" t="s">
        <v>6964</v>
      </c>
      <c r="B2373" s="4" t="s">
        <v>7326</v>
      </c>
      <c r="C2373" s="4" t="s">
        <v>25</v>
      </c>
      <c r="D2373" s="4" t="s">
        <v>26</v>
      </c>
      <c r="E2373" s="5" t="str">
        <f>"9060455"</f>
        <v>9060455</v>
      </c>
      <c r="F2373" s="3" t="s">
        <v>7561</v>
      </c>
      <c r="G2373" s="5">
        <v>2610526210</v>
      </c>
      <c r="H2373" s="4" t="s">
        <v>7562</v>
      </c>
      <c r="I2373" s="4" t="s">
        <v>7329</v>
      </c>
      <c r="J2373" s="4" t="s">
        <v>7563</v>
      </c>
      <c r="K2373" s="4" t="s">
        <v>7564</v>
      </c>
      <c r="L2373" s="5">
        <v>26333</v>
      </c>
    </row>
    <row r="2374" spans="1:12" x14ac:dyDescent="0.25">
      <c r="A2374" s="3" t="s">
        <v>6964</v>
      </c>
      <c r="B2374" s="4" t="s">
        <v>7326</v>
      </c>
      <c r="C2374" s="4" t="s">
        <v>25</v>
      </c>
      <c r="D2374" s="4" t="s">
        <v>26</v>
      </c>
      <c r="E2374" s="5" t="str">
        <f>"9060494"</f>
        <v>9060494</v>
      </c>
      <c r="F2374" s="3" t="s">
        <v>7565</v>
      </c>
      <c r="G2374" s="5">
        <v>2610338527</v>
      </c>
      <c r="H2374" s="4" t="s">
        <v>7566</v>
      </c>
      <c r="I2374" s="4" t="s">
        <v>7329</v>
      </c>
      <c r="J2374" s="4" t="s">
        <v>7334</v>
      </c>
      <c r="K2374" s="4" t="s">
        <v>3845</v>
      </c>
      <c r="L2374" s="5">
        <v>26332</v>
      </c>
    </row>
    <row r="2375" spans="1:12" x14ac:dyDescent="0.25">
      <c r="A2375" s="3" t="s">
        <v>6964</v>
      </c>
      <c r="B2375" s="4" t="s">
        <v>7326</v>
      </c>
      <c r="C2375" s="4" t="s">
        <v>14</v>
      </c>
      <c r="D2375" s="4" t="s">
        <v>15</v>
      </c>
      <c r="E2375" s="5" t="str">
        <f>"9060217"</f>
        <v>9060217</v>
      </c>
      <c r="F2375" s="3" t="s">
        <v>7567</v>
      </c>
      <c r="G2375" s="5">
        <v>2610671750</v>
      </c>
      <c r="H2375" s="4" t="s">
        <v>7568</v>
      </c>
      <c r="I2375" s="4" t="s">
        <v>7329</v>
      </c>
      <c r="J2375" s="4" t="s">
        <v>7569</v>
      </c>
      <c r="K2375" s="4" t="s">
        <v>7570</v>
      </c>
      <c r="L2375" s="5">
        <v>25002</v>
      </c>
    </row>
    <row r="2376" spans="1:12" x14ac:dyDescent="0.25">
      <c r="A2376" s="3" t="s">
        <v>6964</v>
      </c>
      <c r="B2376" s="4" t="s">
        <v>7326</v>
      </c>
      <c r="C2376" s="4" t="s">
        <v>25</v>
      </c>
      <c r="D2376" s="4" t="s">
        <v>26</v>
      </c>
      <c r="E2376" s="5" t="str">
        <f>"9060393"</f>
        <v>9060393</v>
      </c>
      <c r="F2376" s="3" t="s">
        <v>7571</v>
      </c>
      <c r="G2376" s="5">
        <v>2610222366</v>
      </c>
      <c r="H2376" s="4" t="s">
        <v>7572</v>
      </c>
      <c r="I2376" s="4" t="s">
        <v>7329</v>
      </c>
      <c r="J2376" s="4" t="s">
        <v>7334</v>
      </c>
      <c r="K2376" s="4" t="s">
        <v>7573</v>
      </c>
      <c r="L2376" s="5">
        <v>26223</v>
      </c>
    </row>
    <row r="2377" spans="1:12" x14ac:dyDescent="0.25">
      <c r="A2377" s="3" t="s">
        <v>6964</v>
      </c>
      <c r="B2377" s="4" t="s">
        <v>7326</v>
      </c>
      <c r="C2377" s="4" t="s">
        <v>25</v>
      </c>
      <c r="D2377" s="4" t="s">
        <v>26</v>
      </c>
      <c r="E2377" s="5" t="str">
        <f>"9060069"</f>
        <v>9060069</v>
      </c>
      <c r="F2377" s="3" t="s">
        <v>7574</v>
      </c>
      <c r="G2377" s="5">
        <v>2692022658</v>
      </c>
      <c r="H2377" s="4" t="s">
        <v>7575</v>
      </c>
      <c r="I2377" s="4" t="s">
        <v>7456</v>
      </c>
      <c r="J2377" s="4" t="s">
        <v>7456</v>
      </c>
      <c r="K2377" s="4" t="s">
        <v>7576</v>
      </c>
      <c r="L2377" s="5">
        <v>25001</v>
      </c>
    </row>
    <row r="2378" spans="1:12" x14ac:dyDescent="0.25">
      <c r="A2378" s="3" t="s">
        <v>6964</v>
      </c>
      <c r="B2378" s="4" t="s">
        <v>7326</v>
      </c>
      <c r="C2378" s="4" t="s">
        <v>14</v>
      </c>
      <c r="D2378" s="4" t="s">
        <v>15</v>
      </c>
      <c r="E2378" s="5" t="str">
        <f>"9060142"</f>
        <v>9060142</v>
      </c>
      <c r="F2378" s="3" t="s">
        <v>7577</v>
      </c>
      <c r="G2378" s="5">
        <v>2610321768</v>
      </c>
      <c r="H2378" s="4" t="s">
        <v>7578</v>
      </c>
      <c r="I2378" s="4" t="s">
        <v>7329</v>
      </c>
      <c r="J2378" s="4" t="s">
        <v>7330</v>
      </c>
      <c r="K2378" s="4" t="s">
        <v>7579</v>
      </c>
      <c r="L2378" s="5">
        <v>26222</v>
      </c>
    </row>
    <row r="2379" spans="1:12" x14ac:dyDescent="0.25">
      <c r="A2379" s="3" t="s">
        <v>6964</v>
      </c>
      <c r="B2379" s="4" t="s">
        <v>7326</v>
      </c>
      <c r="C2379" s="4" t="s">
        <v>14</v>
      </c>
      <c r="D2379" s="4" t="s">
        <v>15</v>
      </c>
      <c r="E2379" s="5" t="str">
        <f>"9060241"</f>
        <v>9060241</v>
      </c>
      <c r="F2379" s="3" t="s">
        <v>7580</v>
      </c>
      <c r="G2379" s="5">
        <v>2610425142</v>
      </c>
      <c r="H2379" s="4" t="s">
        <v>7581</v>
      </c>
      <c r="I2379" s="4" t="s">
        <v>7329</v>
      </c>
      <c r="J2379" s="4" t="s">
        <v>7330</v>
      </c>
      <c r="K2379" s="4" t="s">
        <v>7582</v>
      </c>
      <c r="L2379" s="5">
        <v>26442</v>
      </c>
    </row>
    <row r="2380" spans="1:12" x14ac:dyDescent="0.25">
      <c r="A2380" s="3" t="s">
        <v>6964</v>
      </c>
      <c r="B2380" s="4" t="s">
        <v>7326</v>
      </c>
      <c r="C2380" s="4" t="s">
        <v>25</v>
      </c>
      <c r="D2380" s="4" t="s">
        <v>26</v>
      </c>
      <c r="E2380" s="5" t="str">
        <f>"9060408"</f>
        <v>9060408</v>
      </c>
      <c r="F2380" s="3" t="s">
        <v>7583</v>
      </c>
      <c r="G2380" s="5">
        <v>2610523550</v>
      </c>
      <c r="H2380" s="4" t="s">
        <v>7584</v>
      </c>
      <c r="I2380" s="4" t="s">
        <v>7329</v>
      </c>
      <c r="J2380" s="4" t="s">
        <v>7563</v>
      </c>
      <c r="K2380" s="4" t="s">
        <v>7585</v>
      </c>
      <c r="L2380" s="5">
        <v>26333</v>
      </c>
    </row>
    <row r="2381" spans="1:12" x14ac:dyDescent="0.25">
      <c r="A2381" s="3" t="s">
        <v>6964</v>
      </c>
      <c r="B2381" s="4" t="s">
        <v>7326</v>
      </c>
      <c r="C2381" s="4" t="s">
        <v>14</v>
      </c>
      <c r="D2381" s="4" t="s">
        <v>15</v>
      </c>
      <c r="E2381" s="5" t="str">
        <f>"9060009"</f>
        <v>9060009</v>
      </c>
      <c r="F2381" s="3" t="s">
        <v>7586</v>
      </c>
      <c r="G2381" s="5">
        <v>2691022981</v>
      </c>
      <c r="H2381" s="4" t="s">
        <v>7587</v>
      </c>
      <c r="I2381" s="4" t="s">
        <v>7349</v>
      </c>
      <c r="J2381" s="4" t="s">
        <v>7588</v>
      </c>
      <c r="K2381" s="4" t="s">
        <v>7589</v>
      </c>
      <c r="L2381" s="5">
        <v>25100</v>
      </c>
    </row>
    <row r="2382" spans="1:12" x14ac:dyDescent="0.25">
      <c r="A2382" s="3" t="s">
        <v>6964</v>
      </c>
      <c r="B2382" s="4" t="s">
        <v>7326</v>
      </c>
      <c r="C2382" s="4" t="s">
        <v>14</v>
      </c>
      <c r="D2382" s="4" t="s">
        <v>15</v>
      </c>
      <c r="E2382" s="5" t="str">
        <f>"9060155"</f>
        <v>9060155</v>
      </c>
      <c r="F2382" s="3" t="s">
        <v>7590</v>
      </c>
      <c r="G2382" s="5">
        <v>2610321707</v>
      </c>
      <c r="H2382" s="4" t="s">
        <v>7591</v>
      </c>
      <c r="I2382" s="4" t="s">
        <v>7329</v>
      </c>
      <c r="J2382" s="4" t="s">
        <v>7330</v>
      </c>
      <c r="K2382" s="4" t="s">
        <v>7592</v>
      </c>
      <c r="L2382" s="5">
        <v>26224</v>
      </c>
    </row>
    <row r="2383" spans="1:12" x14ac:dyDescent="0.25">
      <c r="A2383" s="3" t="s">
        <v>6964</v>
      </c>
      <c r="B2383" s="4" t="s">
        <v>7326</v>
      </c>
      <c r="C2383" s="4" t="s">
        <v>25</v>
      </c>
      <c r="D2383" s="4" t="s">
        <v>26</v>
      </c>
      <c r="E2383" s="5" t="str">
        <f>"9060233"</f>
        <v>9060233</v>
      </c>
      <c r="F2383" s="3" t="s">
        <v>7593</v>
      </c>
      <c r="G2383" s="5">
        <v>2610427105</v>
      </c>
      <c r="H2383" s="4" t="s">
        <v>7594</v>
      </c>
      <c r="I2383" s="4" t="s">
        <v>7329</v>
      </c>
      <c r="J2383" s="4" t="s">
        <v>7334</v>
      </c>
      <c r="K2383" s="4" t="s">
        <v>7595</v>
      </c>
      <c r="L2383" s="5">
        <v>26441</v>
      </c>
    </row>
    <row r="2384" spans="1:12" x14ac:dyDescent="0.25">
      <c r="A2384" s="3" t="s">
        <v>6964</v>
      </c>
      <c r="B2384" s="4" t="s">
        <v>7326</v>
      </c>
      <c r="C2384" s="4" t="s">
        <v>25</v>
      </c>
      <c r="D2384" s="4" t="s">
        <v>26</v>
      </c>
      <c r="E2384" s="5" t="str">
        <f>"9060301"</f>
        <v>9060301</v>
      </c>
      <c r="F2384" s="3" t="s">
        <v>7596</v>
      </c>
      <c r="G2384" s="5">
        <v>2610225300</v>
      </c>
      <c r="H2384" s="4" t="s">
        <v>7597</v>
      </c>
      <c r="I2384" s="4" t="s">
        <v>7329</v>
      </c>
      <c r="J2384" s="4" t="s">
        <v>7330</v>
      </c>
      <c r="K2384" s="4" t="s">
        <v>7598</v>
      </c>
      <c r="L2384" s="5">
        <v>26331</v>
      </c>
    </row>
    <row r="2385" spans="1:12" x14ac:dyDescent="0.25">
      <c r="A2385" s="3" t="s">
        <v>6964</v>
      </c>
      <c r="B2385" s="4" t="s">
        <v>7326</v>
      </c>
      <c r="C2385" s="4" t="s">
        <v>25</v>
      </c>
      <c r="D2385" s="4" t="s">
        <v>26</v>
      </c>
      <c r="E2385" s="5" t="str">
        <f>"9060412"</f>
        <v>9060412</v>
      </c>
      <c r="F2385" s="3" t="s">
        <v>7599</v>
      </c>
      <c r="G2385" s="5">
        <v>2610226049</v>
      </c>
      <c r="H2385" s="4" t="s">
        <v>7600</v>
      </c>
      <c r="I2385" s="4" t="s">
        <v>7329</v>
      </c>
      <c r="J2385" s="4" t="s">
        <v>7334</v>
      </c>
      <c r="K2385" s="4" t="s">
        <v>7601</v>
      </c>
      <c r="L2385" s="5">
        <v>26225</v>
      </c>
    </row>
    <row r="2386" spans="1:12" x14ac:dyDescent="0.25">
      <c r="A2386" s="3" t="s">
        <v>6964</v>
      </c>
      <c r="B2386" s="4" t="s">
        <v>7326</v>
      </c>
      <c r="C2386" s="4" t="s">
        <v>25</v>
      </c>
      <c r="D2386" s="4" t="s">
        <v>26</v>
      </c>
      <c r="E2386" s="5" t="str">
        <f>"9060413"</f>
        <v>9060413</v>
      </c>
      <c r="F2386" s="3" t="s">
        <v>7602</v>
      </c>
      <c r="G2386" s="5">
        <v>2610428467</v>
      </c>
      <c r="H2386" s="4" t="s">
        <v>7603</v>
      </c>
      <c r="I2386" s="4" t="s">
        <v>7329</v>
      </c>
      <c r="J2386" s="4" t="s">
        <v>7334</v>
      </c>
      <c r="K2386" s="4" t="s">
        <v>7595</v>
      </c>
      <c r="L2386" s="5">
        <v>26441</v>
      </c>
    </row>
    <row r="2387" spans="1:12" x14ac:dyDescent="0.25">
      <c r="A2387" s="3" t="s">
        <v>6964</v>
      </c>
      <c r="B2387" s="4" t="s">
        <v>7326</v>
      </c>
      <c r="C2387" s="4" t="s">
        <v>25</v>
      </c>
      <c r="D2387" s="4" t="s">
        <v>26</v>
      </c>
      <c r="E2387" s="5" t="str">
        <f>"9060303"</f>
        <v>9060303</v>
      </c>
      <c r="F2387" s="3" t="s">
        <v>7604</v>
      </c>
      <c r="G2387" s="5">
        <v>2610623891</v>
      </c>
      <c r="H2387" s="4" t="s">
        <v>7605</v>
      </c>
      <c r="I2387" s="4" t="s">
        <v>7329</v>
      </c>
      <c r="J2387" s="4" t="s">
        <v>7334</v>
      </c>
      <c r="K2387" s="4" t="s">
        <v>7528</v>
      </c>
      <c r="L2387" s="5">
        <v>26335</v>
      </c>
    </row>
    <row r="2388" spans="1:12" x14ac:dyDescent="0.25">
      <c r="A2388" s="3" t="s">
        <v>6964</v>
      </c>
      <c r="B2388" s="4" t="s">
        <v>7326</v>
      </c>
      <c r="C2388" s="4" t="s">
        <v>25</v>
      </c>
      <c r="D2388" s="4" t="s">
        <v>26</v>
      </c>
      <c r="E2388" s="5" t="str">
        <f>"9060458"</f>
        <v>9060458</v>
      </c>
      <c r="F2388" s="3" t="s">
        <v>7606</v>
      </c>
      <c r="G2388" s="5">
        <v>2610432047</v>
      </c>
      <c r="H2388" s="4" t="s">
        <v>7607</v>
      </c>
      <c r="I2388" s="4" t="s">
        <v>7329</v>
      </c>
      <c r="J2388" s="4" t="s">
        <v>7334</v>
      </c>
      <c r="K2388" s="4" t="s">
        <v>7608</v>
      </c>
      <c r="L2388" s="5">
        <v>26442</v>
      </c>
    </row>
    <row r="2389" spans="1:12" x14ac:dyDescent="0.25">
      <c r="A2389" s="3" t="s">
        <v>6964</v>
      </c>
      <c r="B2389" s="4" t="s">
        <v>7326</v>
      </c>
      <c r="C2389" s="4" t="s">
        <v>25</v>
      </c>
      <c r="D2389" s="4" t="s">
        <v>26</v>
      </c>
      <c r="E2389" s="5" t="str">
        <f>"9060466"</f>
        <v>9060466</v>
      </c>
      <c r="F2389" s="3" t="s">
        <v>7609</v>
      </c>
      <c r="G2389" s="5">
        <v>2610427206</v>
      </c>
      <c r="H2389" s="4" t="s">
        <v>7610</v>
      </c>
      <c r="I2389" s="4" t="s">
        <v>7329</v>
      </c>
      <c r="J2389" s="4" t="s">
        <v>7330</v>
      </c>
      <c r="K2389" s="4" t="s">
        <v>7611</v>
      </c>
      <c r="L2389" s="5">
        <v>26443</v>
      </c>
    </row>
    <row r="2390" spans="1:12" x14ac:dyDescent="0.25">
      <c r="A2390" s="3" t="s">
        <v>6964</v>
      </c>
      <c r="B2390" s="4" t="s">
        <v>7326</v>
      </c>
      <c r="C2390" s="4" t="s">
        <v>25</v>
      </c>
      <c r="D2390" s="4" t="s">
        <v>26</v>
      </c>
      <c r="E2390" s="5" t="str">
        <f>"9060482"</f>
        <v>9060482</v>
      </c>
      <c r="F2390" s="3" t="s">
        <v>7612</v>
      </c>
      <c r="G2390" s="5">
        <v>2610434898</v>
      </c>
      <c r="H2390" s="4" t="s">
        <v>7613</v>
      </c>
      <c r="I2390" s="4" t="s">
        <v>7329</v>
      </c>
      <c r="J2390" s="4" t="s">
        <v>7334</v>
      </c>
      <c r="K2390" s="4" t="s">
        <v>7614</v>
      </c>
      <c r="L2390" s="5">
        <v>26443</v>
      </c>
    </row>
    <row r="2391" spans="1:12" x14ac:dyDescent="0.25">
      <c r="A2391" s="3" t="s">
        <v>6964</v>
      </c>
      <c r="B2391" s="4" t="s">
        <v>7326</v>
      </c>
      <c r="C2391" s="4" t="s">
        <v>25</v>
      </c>
      <c r="D2391" s="4" t="s">
        <v>26</v>
      </c>
      <c r="E2391" s="5" t="str">
        <f>"9060486"</f>
        <v>9060486</v>
      </c>
      <c r="F2391" s="3" t="s">
        <v>7615</v>
      </c>
      <c r="G2391" s="5">
        <v>2610422882</v>
      </c>
      <c r="H2391" s="4" t="s">
        <v>7616</v>
      </c>
      <c r="I2391" s="4" t="s">
        <v>7329</v>
      </c>
      <c r="J2391" s="4" t="s">
        <v>7330</v>
      </c>
      <c r="K2391" s="4" t="s">
        <v>7617</v>
      </c>
      <c r="L2391" s="5">
        <v>26442</v>
      </c>
    </row>
    <row r="2392" spans="1:12" x14ac:dyDescent="0.25">
      <c r="A2392" s="3" t="s">
        <v>6964</v>
      </c>
      <c r="B2392" s="4" t="s">
        <v>7326</v>
      </c>
      <c r="C2392" s="4" t="s">
        <v>25</v>
      </c>
      <c r="D2392" s="4" t="s">
        <v>26</v>
      </c>
      <c r="E2392" s="5" t="str">
        <f>"9060526"</f>
        <v>9060526</v>
      </c>
      <c r="F2392" s="3" t="s">
        <v>7618</v>
      </c>
      <c r="G2392" s="5">
        <v>2610451122</v>
      </c>
      <c r="H2392" s="4" t="s">
        <v>7619</v>
      </c>
      <c r="I2392" s="4" t="s">
        <v>7329</v>
      </c>
      <c r="J2392" s="4" t="s">
        <v>7334</v>
      </c>
      <c r="K2392" s="4" t="s">
        <v>7620</v>
      </c>
      <c r="L2392" s="5">
        <v>26442</v>
      </c>
    </row>
    <row r="2393" spans="1:12" x14ac:dyDescent="0.25">
      <c r="A2393" s="3" t="s">
        <v>6964</v>
      </c>
      <c r="B2393" s="4" t="s">
        <v>7326</v>
      </c>
      <c r="C2393" s="4" t="s">
        <v>14</v>
      </c>
      <c r="D2393" s="4" t="s">
        <v>15</v>
      </c>
      <c r="E2393" s="5" t="str">
        <f>"9060144"</f>
        <v>9060144</v>
      </c>
      <c r="F2393" s="3" t="s">
        <v>7621</v>
      </c>
      <c r="G2393" s="5">
        <v>2610321467</v>
      </c>
      <c r="H2393" s="4" t="s">
        <v>7622</v>
      </c>
      <c r="I2393" s="4" t="s">
        <v>7329</v>
      </c>
      <c r="J2393" s="4" t="s">
        <v>7330</v>
      </c>
      <c r="K2393" s="4" t="s">
        <v>7623</v>
      </c>
      <c r="L2393" s="5">
        <v>26333</v>
      </c>
    </row>
    <row r="2394" spans="1:12" x14ac:dyDescent="0.25">
      <c r="A2394" s="3" t="s">
        <v>6964</v>
      </c>
      <c r="B2394" s="4" t="s">
        <v>7326</v>
      </c>
      <c r="C2394" s="4" t="s">
        <v>25</v>
      </c>
      <c r="D2394" s="4" t="s">
        <v>26</v>
      </c>
      <c r="E2394" s="5" t="str">
        <f>"9060429"</f>
        <v>9060429</v>
      </c>
      <c r="F2394" s="3" t="s">
        <v>7624</v>
      </c>
      <c r="G2394" s="5">
        <v>2610640352</v>
      </c>
      <c r="H2394" s="4" t="s">
        <v>7625</v>
      </c>
      <c r="I2394" s="4" t="s">
        <v>7329</v>
      </c>
      <c r="J2394" s="4" t="s">
        <v>7334</v>
      </c>
      <c r="K2394" s="4" t="s">
        <v>7626</v>
      </c>
      <c r="L2394" s="5">
        <v>26335</v>
      </c>
    </row>
    <row r="2395" spans="1:12" x14ac:dyDescent="0.25">
      <c r="A2395" s="3" t="s">
        <v>6964</v>
      </c>
      <c r="B2395" s="4" t="s">
        <v>7326</v>
      </c>
      <c r="C2395" s="4" t="s">
        <v>14</v>
      </c>
      <c r="D2395" s="4" t="s">
        <v>15</v>
      </c>
      <c r="E2395" s="5" t="str">
        <f>"9060150"</f>
        <v>9060150</v>
      </c>
      <c r="F2395" s="3" t="s">
        <v>7627</v>
      </c>
      <c r="G2395" s="5">
        <v>2610221075</v>
      </c>
      <c r="H2395" s="4" t="s">
        <v>7628</v>
      </c>
      <c r="I2395" s="4" t="s">
        <v>7329</v>
      </c>
      <c r="J2395" s="4" t="s">
        <v>7330</v>
      </c>
      <c r="K2395" s="4" t="s">
        <v>7503</v>
      </c>
      <c r="L2395" s="5">
        <v>26225</v>
      </c>
    </row>
    <row r="2396" spans="1:12" x14ac:dyDescent="0.25">
      <c r="A2396" s="3" t="s">
        <v>6964</v>
      </c>
      <c r="B2396" s="4" t="s">
        <v>7326</v>
      </c>
      <c r="C2396" s="4" t="s">
        <v>25</v>
      </c>
      <c r="D2396" s="4" t="s">
        <v>26</v>
      </c>
      <c r="E2396" s="5" t="str">
        <f>"9520830"</f>
        <v>9520830</v>
      </c>
      <c r="F2396" s="3" t="s">
        <v>7629</v>
      </c>
      <c r="G2396" s="5">
        <v>2610995725</v>
      </c>
      <c r="H2396" s="4" t="s">
        <v>7630</v>
      </c>
      <c r="I2396" s="4" t="s">
        <v>7329</v>
      </c>
      <c r="J2396" s="4" t="s">
        <v>7631</v>
      </c>
      <c r="K2396" s="4" t="s">
        <v>7632</v>
      </c>
      <c r="L2396" s="5">
        <v>26504</v>
      </c>
    </row>
    <row r="2397" spans="1:12" x14ac:dyDescent="0.25">
      <c r="A2397" s="3" t="s">
        <v>6964</v>
      </c>
      <c r="B2397" s="4" t="s">
        <v>7326</v>
      </c>
      <c r="C2397" s="4" t="s">
        <v>25</v>
      </c>
      <c r="D2397" s="4" t="s">
        <v>26</v>
      </c>
      <c r="E2397" s="5" t="str">
        <f>"9060220"</f>
        <v>9060220</v>
      </c>
      <c r="F2397" s="3" t="s">
        <v>7633</v>
      </c>
      <c r="G2397" s="5">
        <v>2693041050</v>
      </c>
      <c r="H2397" s="4" t="s">
        <v>7634</v>
      </c>
      <c r="I2397" s="4" t="s">
        <v>7377</v>
      </c>
      <c r="J2397" s="4" t="s">
        <v>7635</v>
      </c>
      <c r="K2397" s="4" t="s">
        <v>7636</v>
      </c>
      <c r="L2397" s="5">
        <v>25005</v>
      </c>
    </row>
    <row r="2398" spans="1:12" x14ac:dyDescent="0.25">
      <c r="A2398" s="3" t="s">
        <v>6964</v>
      </c>
      <c r="B2398" s="4" t="s">
        <v>7326</v>
      </c>
      <c r="C2398" s="4" t="s">
        <v>25</v>
      </c>
      <c r="D2398" s="4" t="s">
        <v>26</v>
      </c>
      <c r="E2398" s="5" t="str">
        <f>"9060492"</f>
        <v>9060492</v>
      </c>
      <c r="F2398" s="3" t="s">
        <v>7637</v>
      </c>
      <c r="G2398" s="5">
        <v>2610523435</v>
      </c>
      <c r="H2398" s="4" t="s">
        <v>7638</v>
      </c>
      <c r="I2398" s="4" t="s">
        <v>7329</v>
      </c>
      <c r="J2398" s="4" t="s">
        <v>7334</v>
      </c>
      <c r="K2398" s="4" t="s">
        <v>7513</v>
      </c>
      <c r="L2398" s="5">
        <v>26333</v>
      </c>
    </row>
    <row r="2399" spans="1:12" x14ac:dyDescent="0.25">
      <c r="A2399" s="3" t="s">
        <v>6964</v>
      </c>
      <c r="B2399" s="4" t="s">
        <v>7326</v>
      </c>
      <c r="C2399" s="4" t="s">
        <v>25</v>
      </c>
      <c r="D2399" s="4" t="s">
        <v>26</v>
      </c>
      <c r="E2399" s="5" t="str">
        <f>"9060489"</f>
        <v>9060489</v>
      </c>
      <c r="F2399" s="3" t="s">
        <v>7639</v>
      </c>
      <c r="G2399" s="5">
        <v>2610640543</v>
      </c>
      <c r="H2399" s="4" t="s">
        <v>7640</v>
      </c>
      <c r="I2399" s="4" t="s">
        <v>7329</v>
      </c>
      <c r="J2399" s="4" t="s">
        <v>7334</v>
      </c>
      <c r="K2399" s="4" t="s">
        <v>7641</v>
      </c>
      <c r="L2399" s="5">
        <v>26500</v>
      </c>
    </row>
    <row r="2400" spans="1:12" x14ac:dyDescent="0.25">
      <c r="A2400" s="3" t="s">
        <v>6964</v>
      </c>
      <c r="B2400" s="4" t="s">
        <v>7326</v>
      </c>
      <c r="C2400" s="4" t="s">
        <v>25</v>
      </c>
      <c r="D2400" s="4" t="s">
        <v>26</v>
      </c>
      <c r="E2400" s="5" t="str">
        <f>"9060567"</f>
        <v>9060567</v>
      </c>
      <c r="F2400" s="3" t="s">
        <v>7642</v>
      </c>
      <c r="G2400" s="5">
        <v>2610521343</v>
      </c>
      <c r="H2400" s="4" t="s">
        <v>7643</v>
      </c>
      <c r="I2400" s="4" t="s">
        <v>7329</v>
      </c>
      <c r="J2400" s="4" t="s">
        <v>7644</v>
      </c>
      <c r="K2400" s="4" t="s">
        <v>7645</v>
      </c>
      <c r="L2400" s="5">
        <v>26500</v>
      </c>
    </row>
    <row r="2401" spans="1:12" x14ac:dyDescent="0.25">
      <c r="A2401" s="3" t="s">
        <v>6964</v>
      </c>
      <c r="B2401" s="4" t="s">
        <v>7326</v>
      </c>
      <c r="C2401" s="4" t="s">
        <v>25</v>
      </c>
      <c r="D2401" s="4" t="s">
        <v>26</v>
      </c>
      <c r="E2401" s="5" t="str">
        <f>"9060386"</f>
        <v>9060386</v>
      </c>
      <c r="F2401" s="3" t="s">
        <v>7646</v>
      </c>
      <c r="G2401" s="5">
        <v>2610327407</v>
      </c>
      <c r="H2401" s="4" t="s">
        <v>7647</v>
      </c>
      <c r="I2401" s="4" t="s">
        <v>7329</v>
      </c>
      <c r="J2401" s="4" t="s">
        <v>7334</v>
      </c>
      <c r="K2401" s="4" t="s">
        <v>7648</v>
      </c>
      <c r="L2401" s="5">
        <v>26224</v>
      </c>
    </row>
    <row r="2402" spans="1:12" x14ac:dyDescent="0.25">
      <c r="A2402" s="3" t="s">
        <v>6964</v>
      </c>
      <c r="B2402" s="4" t="s">
        <v>7326</v>
      </c>
      <c r="C2402" s="4" t="s">
        <v>25</v>
      </c>
      <c r="D2402" s="4" t="s">
        <v>26</v>
      </c>
      <c r="E2402" s="5" t="str">
        <f>"9060590"</f>
        <v>9060590</v>
      </c>
      <c r="F2402" s="3" t="s">
        <v>7649</v>
      </c>
      <c r="G2402" s="5">
        <v>2610336314</v>
      </c>
      <c r="H2402" s="4" t="s">
        <v>7650</v>
      </c>
      <c r="I2402" s="4" t="s">
        <v>7329</v>
      </c>
      <c r="J2402" s="4" t="s">
        <v>7334</v>
      </c>
      <c r="K2402" s="4" t="s">
        <v>7651</v>
      </c>
      <c r="L2402" s="5">
        <v>26332</v>
      </c>
    </row>
    <row r="2403" spans="1:12" x14ac:dyDescent="0.25">
      <c r="A2403" s="3" t="s">
        <v>6964</v>
      </c>
      <c r="B2403" s="4" t="s">
        <v>7326</v>
      </c>
      <c r="C2403" s="4" t="s">
        <v>25</v>
      </c>
      <c r="D2403" s="4" t="s">
        <v>26</v>
      </c>
      <c r="E2403" s="5" t="str">
        <f>"9060297"</f>
        <v>9060297</v>
      </c>
      <c r="F2403" s="3" t="s">
        <v>7652</v>
      </c>
      <c r="G2403" s="5">
        <v>2610330004</v>
      </c>
      <c r="H2403" s="4" t="s">
        <v>7653</v>
      </c>
      <c r="I2403" s="4" t="s">
        <v>7329</v>
      </c>
      <c r="J2403" s="4" t="s">
        <v>7334</v>
      </c>
      <c r="K2403" s="4" t="s">
        <v>7654</v>
      </c>
      <c r="L2403" s="5">
        <v>26226</v>
      </c>
    </row>
    <row r="2404" spans="1:12" x14ac:dyDescent="0.25">
      <c r="A2404" s="3" t="s">
        <v>6964</v>
      </c>
      <c r="B2404" s="4" t="s">
        <v>7326</v>
      </c>
      <c r="C2404" s="4" t="s">
        <v>25</v>
      </c>
      <c r="D2404" s="4" t="s">
        <v>26</v>
      </c>
      <c r="E2404" s="5" t="str">
        <f>"9060481"</f>
        <v>9060481</v>
      </c>
      <c r="F2404" s="3" t="s">
        <v>7655</v>
      </c>
      <c r="G2404" s="5">
        <v>2610670863</v>
      </c>
      <c r="H2404" s="4" t="s">
        <v>7656</v>
      </c>
      <c r="I2404" s="4" t="s">
        <v>7329</v>
      </c>
      <c r="J2404" s="4" t="s">
        <v>7657</v>
      </c>
      <c r="K2404" s="4" t="s">
        <v>7658</v>
      </c>
      <c r="L2404" s="5">
        <v>25002</v>
      </c>
    </row>
    <row r="2405" spans="1:12" x14ac:dyDescent="0.25">
      <c r="A2405" s="3" t="s">
        <v>6964</v>
      </c>
      <c r="B2405" s="4" t="s">
        <v>7326</v>
      </c>
      <c r="C2405" s="4" t="s">
        <v>25</v>
      </c>
      <c r="D2405" s="4" t="s">
        <v>26</v>
      </c>
      <c r="E2405" s="5" t="str">
        <f>"9060467"</f>
        <v>9060467</v>
      </c>
      <c r="F2405" s="3" t="s">
        <v>7659</v>
      </c>
      <c r="G2405" s="5">
        <v>2610526685</v>
      </c>
      <c r="H2405" s="4" t="s">
        <v>7660</v>
      </c>
      <c r="I2405" s="4" t="s">
        <v>7329</v>
      </c>
      <c r="J2405" s="4" t="s">
        <v>7644</v>
      </c>
      <c r="K2405" s="4" t="s">
        <v>7661</v>
      </c>
      <c r="L2405" s="5">
        <v>26500</v>
      </c>
    </row>
    <row r="2406" spans="1:12" ht="30" x14ac:dyDescent="0.25">
      <c r="A2406" s="3" t="s">
        <v>6964</v>
      </c>
      <c r="B2406" s="4" t="s">
        <v>7326</v>
      </c>
      <c r="C2406" s="4" t="s">
        <v>14</v>
      </c>
      <c r="D2406" s="4" t="s">
        <v>15</v>
      </c>
      <c r="E2406" s="5" t="str">
        <f>"9060235"</f>
        <v>9060235</v>
      </c>
      <c r="F2406" s="3" t="s">
        <v>7662</v>
      </c>
      <c r="G2406" s="5">
        <v>2610220955</v>
      </c>
      <c r="H2406" s="4" t="s">
        <v>7663</v>
      </c>
      <c r="I2406" s="4" t="s">
        <v>7329</v>
      </c>
      <c r="J2406" s="4" t="s">
        <v>7330</v>
      </c>
      <c r="K2406" s="4" t="s">
        <v>7664</v>
      </c>
      <c r="L2406" s="5">
        <v>26223</v>
      </c>
    </row>
    <row r="2407" spans="1:12" x14ac:dyDescent="0.25">
      <c r="A2407" s="3" t="s">
        <v>6964</v>
      </c>
      <c r="B2407" s="4" t="s">
        <v>7326</v>
      </c>
      <c r="C2407" s="4" t="s">
        <v>25</v>
      </c>
      <c r="D2407" s="4" t="s">
        <v>26</v>
      </c>
      <c r="E2407" s="5" t="str">
        <f>"9520565"</f>
        <v>9520565</v>
      </c>
      <c r="F2407" s="3" t="s">
        <v>7665</v>
      </c>
      <c r="G2407" s="5">
        <v>2610527301</v>
      </c>
      <c r="H2407" s="4" t="s">
        <v>7666</v>
      </c>
      <c r="I2407" s="4" t="s">
        <v>7329</v>
      </c>
      <c r="J2407" s="4" t="s">
        <v>7563</v>
      </c>
      <c r="K2407" s="4" t="s">
        <v>7667</v>
      </c>
      <c r="L2407" s="5">
        <v>26333</v>
      </c>
    </row>
    <row r="2408" spans="1:12" x14ac:dyDescent="0.25">
      <c r="A2408" s="3" t="s">
        <v>6964</v>
      </c>
      <c r="B2408" s="4" t="s">
        <v>7326</v>
      </c>
      <c r="C2408" s="4" t="s">
        <v>25</v>
      </c>
      <c r="D2408" s="4" t="s">
        <v>26</v>
      </c>
      <c r="E2408" s="5" t="str">
        <f>"9060543"</f>
        <v>9060543</v>
      </c>
      <c r="F2408" s="3" t="s">
        <v>7668</v>
      </c>
      <c r="G2408" s="5">
        <v>2610339154</v>
      </c>
      <c r="H2408" s="4" t="s">
        <v>7669</v>
      </c>
      <c r="I2408" s="4" t="s">
        <v>7329</v>
      </c>
      <c r="J2408" s="4" t="s">
        <v>7334</v>
      </c>
      <c r="K2408" s="4" t="s">
        <v>7670</v>
      </c>
      <c r="L2408" s="5">
        <v>26332</v>
      </c>
    </row>
    <row r="2409" spans="1:12" x14ac:dyDescent="0.25">
      <c r="A2409" s="3" t="s">
        <v>6964</v>
      </c>
      <c r="B2409" s="4" t="s">
        <v>7326</v>
      </c>
      <c r="C2409" s="4" t="s">
        <v>14</v>
      </c>
      <c r="D2409" s="4" t="s">
        <v>15</v>
      </c>
      <c r="E2409" s="5" t="str">
        <f>"9060441"</f>
        <v>9060441</v>
      </c>
      <c r="F2409" s="3" t="s">
        <v>7671</v>
      </c>
      <c r="G2409" s="5">
        <v>2610520676</v>
      </c>
      <c r="H2409" s="4" t="s">
        <v>7672</v>
      </c>
      <c r="I2409" s="4" t="s">
        <v>7329</v>
      </c>
      <c r="J2409" s="4" t="s">
        <v>7673</v>
      </c>
      <c r="K2409" s="4" t="s">
        <v>7674</v>
      </c>
      <c r="L2409" s="5">
        <v>26332</v>
      </c>
    </row>
    <row r="2410" spans="1:12" x14ac:dyDescent="0.25">
      <c r="A2410" s="3" t="s">
        <v>6964</v>
      </c>
      <c r="B2410" s="4" t="s">
        <v>7326</v>
      </c>
      <c r="C2410" s="4" t="s">
        <v>25</v>
      </c>
      <c r="D2410" s="4" t="s">
        <v>26</v>
      </c>
      <c r="E2410" s="5" t="str">
        <f>"9060446"</f>
        <v>9060446</v>
      </c>
      <c r="F2410" s="3" t="s">
        <v>7675</v>
      </c>
      <c r="G2410" s="5">
        <v>2610340130</v>
      </c>
      <c r="H2410" s="4" t="s">
        <v>7676</v>
      </c>
      <c r="I2410" s="4" t="s">
        <v>7329</v>
      </c>
      <c r="J2410" s="4" t="s">
        <v>7334</v>
      </c>
      <c r="K2410" s="4" t="s">
        <v>7677</v>
      </c>
      <c r="L2410" s="5">
        <v>26226</v>
      </c>
    </row>
    <row r="2411" spans="1:12" x14ac:dyDescent="0.25">
      <c r="A2411" s="3" t="s">
        <v>6964</v>
      </c>
      <c r="B2411" s="4" t="s">
        <v>7326</v>
      </c>
      <c r="C2411" s="4" t="s">
        <v>25</v>
      </c>
      <c r="D2411" s="4" t="s">
        <v>26</v>
      </c>
      <c r="E2411" s="5" t="str">
        <f>"9060411"</f>
        <v>9060411</v>
      </c>
      <c r="F2411" s="3" t="s">
        <v>7678</v>
      </c>
      <c r="G2411" s="5">
        <v>2610525639</v>
      </c>
      <c r="H2411" s="4" t="s">
        <v>7679</v>
      </c>
      <c r="I2411" s="4" t="s">
        <v>7329</v>
      </c>
      <c r="J2411" s="4" t="s">
        <v>7334</v>
      </c>
      <c r="K2411" s="4" t="s">
        <v>7680</v>
      </c>
      <c r="L2411" s="5">
        <v>26332</v>
      </c>
    </row>
    <row r="2412" spans="1:12" x14ac:dyDescent="0.25">
      <c r="A2412" s="3" t="s">
        <v>6964</v>
      </c>
      <c r="B2412" s="4" t="s">
        <v>7326</v>
      </c>
      <c r="C2412" s="4" t="s">
        <v>25</v>
      </c>
      <c r="D2412" s="4" t="s">
        <v>26</v>
      </c>
      <c r="E2412" s="5" t="str">
        <f>"9520829"</f>
        <v>9520829</v>
      </c>
      <c r="F2412" s="3" t="s">
        <v>7681</v>
      </c>
      <c r="G2412" s="5">
        <v>2610993107</v>
      </c>
      <c r="H2412" s="4" t="s">
        <v>7682</v>
      </c>
      <c r="I2412" s="4" t="s">
        <v>7329</v>
      </c>
      <c r="J2412" s="4" t="s">
        <v>7683</v>
      </c>
      <c r="K2412" s="4" t="s">
        <v>7684</v>
      </c>
      <c r="L2412" s="5">
        <v>26504</v>
      </c>
    </row>
    <row r="2413" spans="1:12" x14ac:dyDescent="0.25">
      <c r="A2413" s="3" t="s">
        <v>6964</v>
      </c>
      <c r="B2413" s="4" t="s">
        <v>7326</v>
      </c>
      <c r="C2413" s="4" t="s">
        <v>25</v>
      </c>
      <c r="D2413" s="4" t="s">
        <v>26</v>
      </c>
      <c r="E2413" s="5" t="str">
        <f>"9060555"</f>
        <v>9060555</v>
      </c>
      <c r="F2413" s="3" t="s">
        <v>7685</v>
      </c>
      <c r="G2413" s="5">
        <v>2610334928</v>
      </c>
      <c r="H2413" s="4" t="s">
        <v>7686</v>
      </c>
      <c r="I2413" s="4" t="s">
        <v>7329</v>
      </c>
      <c r="J2413" s="4" t="s">
        <v>7334</v>
      </c>
      <c r="K2413" s="4" t="s">
        <v>7687</v>
      </c>
      <c r="L2413" s="5">
        <v>26334</v>
      </c>
    </row>
    <row r="2414" spans="1:12" x14ac:dyDescent="0.25">
      <c r="A2414" s="3" t="s">
        <v>6964</v>
      </c>
      <c r="B2414" s="4" t="s">
        <v>7326</v>
      </c>
      <c r="C2414" s="4" t="s">
        <v>25</v>
      </c>
      <c r="D2414" s="4" t="s">
        <v>26</v>
      </c>
      <c r="E2414" s="5" t="str">
        <f>"9060140"</f>
        <v>9060140</v>
      </c>
      <c r="F2414" s="3" t="s">
        <v>7688</v>
      </c>
      <c r="G2414" s="5">
        <v>2610324849</v>
      </c>
      <c r="H2414" s="4" t="s">
        <v>7689</v>
      </c>
      <c r="I2414" s="4" t="s">
        <v>7329</v>
      </c>
      <c r="J2414" s="4" t="s">
        <v>7334</v>
      </c>
      <c r="K2414" s="4" t="s">
        <v>7623</v>
      </c>
      <c r="L2414" s="5">
        <v>26333</v>
      </c>
    </row>
    <row r="2415" spans="1:12" x14ac:dyDescent="0.25">
      <c r="A2415" s="3" t="s">
        <v>6964</v>
      </c>
      <c r="B2415" s="4" t="s">
        <v>7326</v>
      </c>
      <c r="C2415" s="4" t="s">
        <v>25</v>
      </c>
      <c r="D2415" s="4" t="s">
        <v>26</v>
      </c>
      <c r="E2415" s="5" t="str">
        <f>"9060369"</f>
        <v>9060369</v>
      </c>
      <c r="F2415" s="3" t="s">
        <v>7690</v>
      </c>
      <c r="G2415" s="5">
        <v>2610428581</v>
      </c>
      <c r="H2415" s="4" t="s">
        <v>7691</v>
      </c>
      <c r="I2415" s="4" t="s">
        <v>7329</v>
      </c>
      <c r="J2415" s="4" t="s">
        <v>7334</v>
      </c>
      <c r="K2415" s="4" t="s">
        <v>7692</v>
      </c>
      <c r="L2415" s="5">
        <v>26441</v>
      </c>
    </row>
    <row r="2416" spans="1:12" x14ac:dyDescent="0.25">
      <c r="A2416" s="3" t="s">
        <v>6964</v>
      </c>
      <c r="B2416" s="4" t="s">
        <v>7326</v>
      </c>
      <c r="C2416" s="4" t="s">
        <v>25</v>
      </c>
      <c r="D2416" s="4" t="s">
        <v>26</v>
      </c>
      <c r="E2416" s="5" t="str">
        <f>"9520792"</f>
        <v>9520792</v>
      </c>
      <c r="F2416" s="3" t="s">
        <v>7693</v>
      </c>
      <c r="G2416" s="5">
        <v>2610316618</v>
      </c>
      <c r="H2416" s="4" t="s">
        <v>7694</v>
      </c>
      <c r="I2416" s="4" t="s">
        <v>7329</v>
      </c>
      <c r="J2416" s="4" t="s">
        <v>7334</v>
      </c>
      <c r="K2416" s="4" t="s">
        <v>7695</v>
      </c>
      <c r="L2416" s="5">
        <v>26332</v>
      </c>
    </row>
    <row r="2417" spans="1:12" x14ac:dyDescent="0.25">
      <c r="A2417" s="3" t="s">
        <v>6964</v>
      </c>
      <c r="B2417" s="4" t="s">
        <v>7326</v>
      </c>
      <c r="C2417" s="4" t="s">
        <v>25</v>
      </c>
      <c r="D2417" s="4" t="s">
        <v>26</v>
      </c>
      <c r="E2417" s="5" t="str">
        <f>"9060483"</f>
        <v>9060483</v>
      </c>
      <c r="F2417" s="3" t="s">
        <v>7696</v>
      </c>
      <c r="G2417" s="5">
        <v>2610343176</v>
      </c>
      <c r="H2417" s="4" t="s">
        <v>7697</v>
      </c>
      <c r="I2417" s="4" t="s">
        <v>7329</v>
      </c>
      <c r="J2417" s="4" t="s">
        <v>7334</v>
      </c>
      <c r="K2417" s="4" t="s">
        <v>7698</v>
      </c>
      <c r="L2417" s="5">
        <v>26333</v>
      </c>
    </row>
    <row r="2418" spans="1:12" x14ac:dyDescent="0.25">
      <c r="A2418" s="3" t="s">
        <v>6964</v>
      </c>
      <c r="B2418" s="4" t="s">
        <v>7326</v>
      </c>
      <c r="C2418" s="4" t="s">
        <v>25</v>
      </c>
      <c r="D2418" s="4" t="s">
        <v>26</v>
      </c>
      <c r="E2418" s="5" t="str">
        <f>"9060296"</f>
        <v>9060296</v>
      </c>
      <c r="F2418" s="3" t="s">
        <v>7699</v>
      </c>
      <c r="G2418" s="5">
        <v>2610328278</v>
      </c>
      <c r="H2418" s="4" t="s">
        <v>7700</v>
      </c>
      <c r="I2418" s="4" t="s">
        <v>7329</v>
      </c>
      <c r="J2418" s="4" t="s">
        <v>7334</v>
      </c>
      <c r="K2418" s="4" t="s">
        <v>7701</v>
      </c>
      <c r="L2418" s="5">
        <v>26224</v>
      </c>
    </row>
    <row r="2419" spans="1:12" x14ac:dyDescent="0.25">
      <c r="A2419" s="3" t="s">
        <v>6964</v>
      </c>
      <c r="B2419" s="4" t="s">
        <v>7326</v>
      </c>
      <c r="C2419" s="4" t="s">
        <v>25</v>
      </c>
      <c r="D2419" s="4" t="s">
        <v>26</v>
      </c>
      <c r="E2419" s="5" t="str">
        <f>"9060510"</f>
        <v>9060510</v>
      </c>
      <c r="F2419" s="3" t="s">
        <v>7702</v>
      </c>
      <c r="G2419" s="5">
        <v>2610311946</v>
      </c>
      <c r="H2419" s="4" t="s">
        <v>7703</v>
      </c>
      <c r="I2419" s="4" t="s">
        <v>7329</v>
      </c>
      <c r="J2419" s="4" t="s">
        <v>7334</v>
      </c>
      <c r="K2419" s="4" t="s">
        <v>7549</v>
      </c>
      <c r="L2419" s="5">
        <v>26222</v>
      </c>
    </row>
    <row r="2420" spans="1:12" x14ac:dyDescent="0.25">
      <c r="A2420" s="3" t="s">
        <v>6964</v>
      </c>
      <c r="B2420" s="4" t="s">
        <v>7326</v>
      </c>
      <c r="C2420" s="4" t="s">
        <v>25</v>
      </c>
      <c r="D2420" s="4" t="s">
        <v>26</v>
      </c>
      <c r="E2420" s="5" t="str">
        <f>"9520791"</f>
        <v>9520791</v>
      </c>
      <c r="F2420" s="3" t="s">
        <v>7704</v>
      </c>
      <c r="G2420" s="5">
        <v>2610528938</v>
      </c>
      <c r="H2420" s="4" t="s">
        <v>7705</v>
      </c>
      <c r="I2420" s="4" t="s">
        <v>7329</v>
      </c>
      <c r="J2420" s="4" t="s">
        <v>7563</v>
      </c>
      <c r="K2420" s="4" t="s">
        <v>7706</v>
      </c>
      <c r="L2420" s="5">
        <v>26333</v>
      </c>
    </row>
    <row r="2421" spans="1:12" x14ac:dyDescent="0.25">
      <c r="A2421" s="3" t="s">
        <v>6964</v>
      </c>
      <c r="B2421" s="4" t="s">
        <v>7326</v>
      </c>
      <c r="C2421" s="4" t="s">
        <v>25</v>
      </c>
      <c r="D2421" s="4" t="s">
        <v>26</v>
      </c>
      <c r="E2421" s="5" t="str">
        <f>"9060468"</f>
        <v>9060468</v>
      </c>
      <c r="F2421" s="3" t="s">
        <v>7707</v>
      </c>
      <c r="G2421" s="5">
        <v>2610334454</v>
      </c>
      <c r="H2421" s="4" t="s">
        <v>7708</v>
      </c>
      <c r="I2421" s="4" t="s">
        <v>7329</v>
      </c>
      <c r="J2421" s="4" t="s">
        <v>7334</v>
      </c>
      <c r="K2421" s="4" t="s">
        <v>7709</v>
      </c>
      <c r="L2421" s="5">
        <v>26332</v>
      </c>
    </row>
    <row r="2422" spans="1:12" x14ac:dyDescent="0.25">
      <c r="A2422" s="3" t="s">
        <v>6964</v>
      </c>
      <c r="B2422" s="4" t="s">
        <v>7326</v>
      </c>
      <c r="C2422" s="4" t="s">
        <v>25</v>
      </c>
      <c r="D2422" s="4" t="s">
        <v>26</v>
      </c>
      <c r="E2422" s="5" t="str">
        <f>"9060139"</f>
        <v>9060139</v>
      </c>
      <c r="F2422" s="3" t="s">
        <v>7710</v>
      </c>
      <c r="G2422" s="5">
        <v>2610338808</v>
      </c>
      <c r="H2422" s="4" t="s">
        <v>7711</v>
      </c>
      <c r="I2422" s="4" t="s">
        <v>7329</v>
      </c>
      <c r="J2422" s="4" t="s">
        <v>7330</v>
      </c>
      <c r="K2422" s="4" t="s">
        <v>7712</v>
      </c>
      <c r="L2422" s="5">
        <v>26222</v>
      </c>
    </row>
    <row r="2423" spans="1:12" x14ac:dyDescent="0.25">
      <c r="A2423" s="3" t="s">
        <v>6964</v>
      </c>
      <c r="B2423" s="4" t="s">
        <v>7326</v>
      </c>
      <c r="C2423" s="4" t="s">
        <v>14</v>
      </c>
      <c r="D2423" s="4" t="s">
        <v>15</v>
      </c>
      <c r="E2423" s="5" t="str">
        <f>"9060575"</f>
        <v>9060575</v>
      </c>
      <c r="F2423" s="3" t="s">
        <v>7713</v>
      </c>
      <c r="G2423" s="5">
        <v>2610524609</v>
      </c>
      <c r="H2423" s="4" t="s">
        <v>7714</v>
      </c>
      <c r="I2423" s="4" t="s">
        <v>7329</v>
      </c>
      <c r="J2423" s="4" t="s">
        <v>7715</v>
      </c>
      <c r="K2423" s="4" t="s">
        <v>7716</v>
      </c>
      <c r="L2423" s="5">
        <v>26500</v>
      </c>
    </row>
    <row r="2424" spans="1:12" x14ac:dyDescent="0.25">
      <c r="A2424" s="3" t="s">
        <v>6964</v>
      </c>
      <c r="B2424" s="4" t="s">
        <v>7326</v>
      </c>
      <c r="C2424" s="4" t="s">
        <v>14</v>
      </c>
      <c r="D2424" s="4" t="s">
        <v>15</v>
      </c>
      <c r="E2424" s="5" t="str">
        <f>"9060143"</f>
        <v>9060143</v>
      </c>
      <c r="F2424" s="3" t="s">
        <v>7717</v>
      </c>
      <c r="G2424" s="5">
        <v>2610321778</v>
      </c>
      <c r="H2424" s="4" t="s">
        <v>7718</v>
      </c>
      <c r="I2424" s="4" t="s">
        <v>7329</v>
      </c>
      <c r="J2424" s="4" t="s">
        <v>7330</v>
      </c>
      <c r="K2424" s="4" t="s">
        <v>7719</v>
      </c>
      <c r="L2424" s="5">
        <v>26332</v>
      </c>
    </row>
    <row r="2425" spans="1:12" x14ac:dyDescent="0.25">
      <c r="A2425" s="3" t="s">
        <v>6964</v>
      </c>
      <c r="B2425" s="4" t="s">
        <v>7326</v>
      </c>
      <c r="C2425" s="4" t="s">
        <v>14</v>
      </c>
      <c r="D2425" s="4" t="s">
        <v>15</v>
      </c>
      <c r="E2425" s="5" t="str">
        <f>"9060305"</f>
        <v>9060305</v>
      </c>
      <c r="F2425" s="3" t="s">
        <v>7720</v>
      </c>
      <c r="G2425" s="5">
        <v>2610321553</v>
      </c>
      <c r="H2425" s="4" t="s">
        <v>7721</v>
      </c>
      <c r="I2425" s="4" t="s">
        <v>7329</v>
      </c>
      <c r="J2425" s="4" t="s">
        <v>7330</v>
      </c>
      <c r="K2425" s="4" t="s">
        <v>7722</v>
      </c>
      <c r="L2425" s="5">
        <v>26226</v>
      </c>
    </row>
    <row r="2426" spans="1:12" x14ac:dyDescent="0.25">
      <c r="A2426" s="3" t="s">
        <v>6964</v>
      </c>
      <c r="B2426" s="4" t="s">
        <v>7326</v>
      </c>
      <c r="C2426" s="4" t="s">
        <v>14</v>
      </c>
      <c r="D2426" s="4" t="s">
        <v>15</v>
      </c>
      <c r="E2426" s="5" t="str">
        <f>"9060245"</f>
        <v>9060245</v>
      </c>
      <c r="F2426" s="3" t="s">
        <v>7723</v>
      </c>
      <c r="G2426" s="5">
        <v>2610223118</v>
      </c>
      <c r="H2426" s="4" t="s">
        <v>7724</v>
      </c>
      <c r="I2426" s="4" t="s">
        <v>7329</v>
      </c>
      <c r="J2426" s="4" t="s">
        <v>7330</v>
      </c>
      <c r="K2426" s="4" t="s">
        <v>7725</v>
      </c>
      <c r="L2426" s="5">
        <v>26335</v>
      </c>
    </row>
    <row r="2427" spans="1:12" x14ac:dyDescent="0.25">
      <c r="A2427" s="3" t="s">
        <v>6964</v>
      </c>
      <c r="B2427" s="4" t="s">
        <v>7326</v>
      </c>
      <c r="C2427" s="4" t="s">
        <v>25</v>
      </c>
      <c r="D2427" s="4" t="s">
        <v>26</v>
      </c>
      <c r="E2427" s="5" t="str">
        <f>"9060194"</f>
        <v>9060194</v>
      </c>
      <c r="F2427" s="3" t="s">
        <v>7726</v>
      </c>
      <c r="G2427" s="5">
        <v>2693360514</v>
      </c>
      <c r="H2427" s="4" t="s">
        <v>7727</v>
      </c>
      <c r="I2427" s="4" t="s">
        <v>7377</v>
      </c>
      <c r="J2427" s="4" t="s">
        <v>7728</v>
      </c>
      <c r="K2427" s="4" t="s">
        <v>7728</v>
      </c>
      <c r="L2427" s="5">
        <v>25200</v>
      </c>
    </row>
    <row r="2428" spans="1:12" x14ac:dyDescent="0.25">
      <c r="A2428" s="3" t="s">
        <v>6964</v>
      </c>
      <c r="B2428" s="4" t="s">
        <v>7326</v>
      </c>
      <c r="C2428" s="4" t="s">
        <v>25</v>
      </c>
      <c r="D2428" s="4" t="s">
        <v>26</v>
      </c>
      <c r="E2428" s="5" t="str">
        <f>"9060181"</f>
        <v>9060181</v>
      </c>
      <c r="F2428" s="3" t="s">
        <v>7729</v>
      </c>
      <c r="G2428" s="5">
        <v>2693360516</v>
      </c>
      <c r="H2428" s="4" t="s">
        <v>7730</v>
      </c>
      <c r="I2428" s="4" t="s">
        <v>7377</v>
      </c>
      <c r="J2428" s="4" t="s">
        <v>7441</v>
      </c>
      <c r="K2428" s="4" t="s">
        <v>7731</v>
      </c>
      <c r="L2428" s="5">
        <v>25200</v>
      </c>
    </row>
    <row r="2429" spans="1:12" x14ac:dyDescent="0.25">
      <c r="A2429" s="3" t="s">
        <v>6964</v>
      </c>
      <c r="B2429" s="4" t="s">
        <v>7326</v>
      </c>
      <c r="C2429" s="4" t="s">
        <v>25</v>
      </c>
      <c r="D2429" s="4" t="s">
        <v>26</v>
      </c>
      <c r="E2429" s="5" t="str">
        <f>"9060169"</f>
        <v>9060169</v>
      </c>
      <c r="F2429" s="3" t="s">
        <v>7732</v>
      </c>
      <c r="G2429" s="5">
        <v>2610671214</v>
      </c>
      <c r="H2429" s="4" t="s">
        <v>7733</v>
      </c>
      <c r="I2429" s="4" t="s">
        <v>7329</v>
      </c>
      <c r="J2429" s="4" t="s">
        <v>7734</v>
      </c>
      <c r="K2429" s="4" t="s">
        <v>7735</v>
      </c>
      <c r="L2429" s="5">
        <v>25002</v>
      </c>
    </row>
    <row r="2430" spans="1:12" x14ac:dyDescent="0.25">
      <c r="A2430" s="3" t="s">
        <v>6964</v>
      </c>
      <c r="B2430" s="4" t="s">
        <v>7326</v>
      </c>
      <c r="C2430" s="4" t="s">
        <v>25</v>
      </c>
      <c r="D2430" s="4" t="s">
        <v>26</v>
      </c>
      <c r="E2430" s="5" t="str">
        <f>"9060616"</f>
        <v>9060616</v>
      </c>
      <c r="F2430" s="3" t="s">
        <v>7736</v>
      </c>
      <c r="G2430" s="5">
        <v>2610431663</v>
      </c>
      <c r="H2430" s="4" t="s">
        <v>7737</v>
      </c>
      <c r="I2430" s="4" t="s">
        <v>7329</v>
      </c>
      <c r="J2430" s="4" t="s">
        <v>7334</v>
      </c>
      <c r="K2430" s="4" t="s">
        <v>7738</v>
      </c>
      <c r="L2430" s="5">
        <v>26442</v>
      </c>
    </row>
    <row r="2431" spans="1:12" x14ac:dyDescent="0.25">
      <c r="A2431" s="3" t="s">
        <v>6964</v>
      </c>
      <c r="B2431" s="4" t="s">
        <v>7326</v>
      </c>
      <c r="C2431" s="4" t="s">
        <v>14</v>
      </c>
      <c r="D2431" s="4" t="s">
        <v>15</v>
      </c>
      <c r="E2431" s="5" t="str">
        <f>"9060055"</f>
        <v>9060055</v>
      </c>
      <c r="F2431" s="3" t="s">
        <v>7739</v>
      </c>
      <c r="G2431" s="5">
        <v>2691071484</v>
      </c>
      <c r="H2431" s="4" t="s">
        <v>7740</v>
      </c>
      <c r="I2431" s="4" t="s">
        <v>7349</v>
      </c>
      <c r="J2431" s="4" t="s">
        <v>7741</v>
      </c>
      <c r="K2431" s="4" t="s">
        <v>7742</v>
      </c>
      <c r="L2431" s="5">
        <v>25100</v>
      </c>
    </row>
    <row r="2432" spans="1:12" x14ac:dyDescent="0.25">
      <c r="A2432" s="3" t="s">
        <v>6964</v>
      </c>
      <c r="B2432" s="4" t="s">
        <v>7326</v>
      </c>
      <c r="C2432" s="4" t="s">
        <v>14</v>
      </c>
      <c r="D2432" s="4" t="s">
        <v>15</v>
      </c>
      <c r="E2432" s="5" t="str">
        <f>"9060013"</f>
        <v>9060013</v>
      </c>
      <c r="F2432" s="3" t="s">
        <v>7743</v>
      </c>
      <c r="G2432" s="5">
        <v>2696031228</v>
      </c>
      <c r="H2432" s="4" t="s">
        <v>7744</v>
      </c>
      <c r="I2432" s="4" t="s">
        <v>7349</v>
      </c>
      <c r="J2432" s="4" t="s">
        <v>7745</v>
      </c>
      <c r="K2432" s="4" t="s">
        <v>7746</v>
      </c>
      <c r="L2432" s="5">
        <v>25010</v>
      </c>
    </row>
    <row r="2433" spans="1:12" x14ac:dyDescent="0.25">
      <c r="A2433" s="3" t="s">
        <v>6964</v>
      </c>
      <c r="B2433" s="4" t="s">
        <v>7326</v>
      </c>
      <c r="C2433" s="4" t="s">
        <v>25</v>
      </c>
      <c r="D2433" s="4" t="s">
        <v>26</v>
      </c>
      <c r="E2433" s="5" t="str">
        <f>"9060485"</f>
        <v>9060485</v>
      </c>
      <c r="F2433" s="3" t="s">
        <v>7747</v>
      </c>
      <c r="G2433" s="5">
        <v>2610433454</v>
      </c>
      <c r="H2433" s="4" t="s">
        <v>7748</v>
      </c>
      <c r="I2433" s="4" t="s">
        <v>7329</v>
      </c>
      <c r="J2433" s="4" t="s">
        <v>7334</v>
      </c>
      <c r="K2433" s="4" t="s">
        <v>7749</v>
      </c>
      <c r="L2433" s="5">
        <v>26442</v>
      </c>
    </row>
    <row r="2434" spans="1:12" x14ac:dyDescent="0.25">
      <c r="A2434" s="3" t="s">
        <v>6964</v>
      </c>
      <c r="B2434" s="4" t="s">
        <v>7326</v>
      </c>
      <c r="C2434" s="4" t="s">
        <v>25</v>
      </c>
      <c r="D2434" s="4" t="s">
        <v>26</v>
      </c>
      <c r="E2434" s="5" t="str">
        <f>"9060461"</f>
        <v>9060461</v>
      </c>
      <c r="F2434" s="3" t="s">
        <v>7750</v>
      </c>
      <c r="G2434" s="5">
        <v>2610991129</v>
      </c>
      <c r="H2434" s="4" t="s">
        <v>7751</v>
      </c>
      <c r="I2434" s="4" t="s">
        <v>7329</v>
      </c>
      <c r="J2434" s="4" t="s">
        <v>7631</v>
      </c>
      <c r="K2434" s="4" t="s">
        <v>7752</v>
      </c>
      <c r="L2434" s="5">
        <v>26500</v>
      </c>
    </row>
    <row r="2435" spans="1:12" x14ac:dyDescent="0.25">
      <c r="A2435" s="3" t="s">
        <v>6964</v>
      </c>
      <c r="B2435" s="4" t="s">
        <v>7326</v>
      </c>
      <c r="C2435" s="4" t="s">
        <v>14</v>
      </c>
      <c r="D2435" s="4" t="s">
        <v>15</v>
      </c>
      <c r="E2435" s="5" t="str">
        <f>"9060004"</f>
        <v>9060004</v>
      </c>
      <c r="F2435" s="3" t="s">
        <v>7753</v>
      </c>
      <c r="G2435" s="5">
        <v>2691027922</v>
      </c>
      <c r="H2435" s="4" t="s">
        <v>7754</v>
      </c>
      <c r="I2435" s="4" t="s">
        <v>7349</v>
      </c>
      <c r="J2435" s="4" t="s">
        <v>7545</v>
      </c>
      <c r="K2435" s="4" t="s">
        <v>7755</v>
      </c>
      <c r="L2435" s="5">
        <v>25100</v>
      </c>
    </row>
    <row r="2436" spans="1:12" x14ac:dyDescent="0.25">
      <c r="A2436" s="3" t="s">
        <v>6964</v>
      </c>
      <c r="B2436" s="4" t="s">
        <v>7326</v>
      </c>
      <c r="C2436" s="4" t="s">
        <v>14</v>
      </c>
      <c r="D2436" s="4" t="s">
        <v>15</v>
      </c>
      <c r="E2436" s="5" t="str">
        <f>"9060276"</f>
        <v>9060276</v>
      </c>
      <c r="F2436" s="3" t="s">
        <v>7756</v>
      </c>
      <c r="G2436" s="5">
        <v>2691031173</v>
      </c>
      <c r="H2436" s="4" t="s">
        <v>7757</v>
      </c>
      <c r="I2436" s="4" t="s">
        <v>7349</v>
      </c>
      <c r="J2436" s="4" t="s">
        <v>6603</v>
      </c>
      <c r="K2436" s="4" t="s">
        <v>6603</v>
      </c>
      <c r="L2436" s="5">
        <v>25009</v>
      </c>
    </row>
    <row r="2437" spans="1:12" x14ac:dyDescent="0.25">
      <c r="A2437" s="3" t="s">
        <v>6964</v>
      </c>
      <c r="B2437" s="4" t="s">
        <v>7326</v>
      </c>
      <c r="C2437" s="4" t="s">
        <v>14</v>
      </c>
      <c r="D2437" s="4" t="s">
        <v>15</v>
      </c>
      <c r="E2437" s="5" t="str">
        <f>"9060060"</f>
        <v>9060060</v>
      </c>
      <c r="F2437" s="3" t="s">
        <v>7758</v>
      </c>
      <c r="G2437" s="5">
        <v>2691360522</v>
      </c>
      <c r="H2437" s="4" t="s">
        <v>7759</v>
      </c>
      <c r="I2437" s="4" t="s">
        <v>7349</v>
      </c>
      <c r="J2437" s="4" t="s">
        <v>7760</v>
      </c>
      <c r="K2437" s="4" t="s">
        <v>7760</v>
      </c>
      <c r="L2437" s="5">
        <v>25100</v>
      </c>
    </row>
    <row r="2438" spans="1:12" x14ac:dyDescent="0.25">
      <c r="A2438" s="3" t="s">
        <v>6964</v>
      </c>
      <c r="B2438" s="4" t="s">
        <v>7326</v>
      </c>
      <c r="C2438" s="4" t="s">
        <v>14</v>
      </c>
      <c r="D2438" s="4" t="s">
        <v>15</v>
      </c>
      <c r="E2438" s="5" t="str">
        <f>"9060034"</f>
        <v>9060034</v>
      </c>
      <c r="F2438" s="3" t="s">
        <v>7761</v>
      </c>
      <c r="G2438" s="5">
        <v>2691022664</v>
      </c>
      <c r="H2438" s="4" t="s">
        <v>7762</v>
      </c>
      <c r="I2438" s="4" t="s">
        <v>7349</v>
      </c>
      <c r="J2438" s="4" t="s">
        <v>7763</v>
      </c>
      <c r="K2438" s="4" t="s">
        <v>7764</v>
      </c>
      <c r="L2438" s="5">
        <v>25100</v>
      </c>
    </row>
    <row r="2439" spans="1:12" x14ac:dyDescent="0.25">
      <c r="A2439" s="3" t="s">
        <v>6964</v>
      </c>
      <c r="B2439" s="4" t="s">
        <v>7326</v>
      </c>
      <c r="C2439" s="4" t="s">
        <v>14</v>
      </c>
      <c r="D2439" s="4" t="s">
        <v>15</v>
      </c>
      <c r="E2439" s="5" t="str">
        <f>"9060001"</f>
        <v>9060001</v>
      </c>
      <c r="F2439" s="3" t="s">
        <v>7765</v>
      </c>
      <c r="G2439" s="5">
        <v>2696033084</v>
      </c>
      <c r="H2439" s="4" t="s">
        <v>7766</v>
      </c>
      <c r="I2439" s="4" t="s">
        <v>7349</v>
      </c>
      <c r="J2439" s="4" t="s">
        <v>7767</v>
      </c>
      <c r="K2439" s="4" t="s">
        <v>7768</v>
      </c>
      <c r="L2439" s="5">
        <v>25006</v>
      </c>
    </row>
    <row r="2440" spans="1:12" x14ac:dyDescent="0.25">
      <c r="A2440" s="3" t="s">
        <v>6964</v>
      </c>
      <c r="B2440" s="4" t="s">
        <v>7326</v>
      </c>
      <c r="C2440" s="4" t="s">
        <v>14</v>
      </c>
      <c r="D2440" s="4" t="s">
        <v>15</v>
      </c>
      <c r="E2440" s="5" t="str">
        <f>"9060016"</f>
        <v>9060016</v>
      </c>
      <c r="F2440" s="3" t="s">
        <v>7769</v>
      </c>
      <c r="G2440" s="5">
        <v>2696360310</v>
      </c>
      <c r="H2440" s="4" t="s">
        <v>7770</v>
      </c>
      <c r="I2440" s="4" t="s">
        <v>7349</v>
      </c>
      <c r="J2440" s="4" t="s">
        <v>7771</v>
      </c>
      <c r="K2440" s="4" t="s">
        <v>7767</v>
      </c>
      <c r="L2440" s="5">
        <v>25006</v>
      </c>
    </row>
    <row r="2441" spans="1:12" x14ac:dyDescent="0.25">
      <c r="A2441" s="3" t="s">
        <v>6964</v>
      </c>
      <c r="B2441" s="4" t="s">
        <v>7326</v>
      </c>
      <c r="C2441" s="4" t="s">
        <v>14</v>
      </c>
      <c r="D2441" s="4" t="s">
        <v>15</v>
      </c>
      <c r="E2441" s="5" t="str">
        <f>"9060006"</f>
        <v>9060006</v>
      </c>
      <c r="F2441" s="3" t="s">
        <v>7772</v>
      </c>
      <c r="G2441" s="5">
        <v>2691028826</v>
      </c>
      <c r="H2441" s="4" t="s">
        <v>7773</v>
      </c>
      <c r="I2441" s="4" t="s">
        <v>7349</v>
      </c>
      <c r="J2441" s="4" t="s">
        <v>7774</v>
      </c>
      <c r="K2441" s="4" t="s">
        <v>7775</v>
      </c>
      <c r="L2441" s="5">
        <v>25100</v>
      </c>
    </row>
    <row r="2442" spans="1:12" x14ac:dyDescent="0.25">
      <c r="A2442" s="3" t="s">
        <v>6964</v>
      </c>
      <c r="B2442" s="4" t="s">
        <v>7326</v>
      </c>
      <c r="C2442" s="4" t="s">
        <v>14</v>
      </c>
      <c r="D2442" s="4" t="s">
        <v>15</v>
      </c>
      <c r="E2442" s="5" t="str">
        <f>"9060304"</f>
        <v>9060304</v>
      </c>
      <c r="F2442" s="3" t="s">
        <v>7776</v>
      </c>
      <c r="G2442" s="5">
        <v>2610321110</v>
      </c>
      <c r="H2442" s="4" t="s">
        <v>7777</v>
      </c>
      <c r="I2442" s="4" t="s">
        <v>7329</v>
      </c>
      <c r="J2442" s="4" t="s">
        <v>7330</v>
      </c>
      <c r="K2442" s="4" t="s">
        <v>7778</v>
      </c>
      <c r="L2442" s="5">
        <v>26224</v>
      </c>
    </row>
    <row r="2443" spans="1:12" x14ac:dyDescent="0.25">
      <c r="A2443" s="3" t="s">
        <v>6964</v>
      </c>
      <c r="B2443" s="4" t="s">
        <v>7326</v>
      </c>
      <c r="C2443" s="4" t="s">
        <v>14</v>
      </c>
      <c r="D2443" s="4" t="s">
        <v>15</v>
      </c>
      <c r="E2443" s="5" t="str">
        <f>"9060005"</f>
        <v>9060005</v>
      </c>
      <c r="F2443" s="3" t="s">
        <v>7779</v>
      </c>
      <c r="G2443" s="5">
        <v>2691022370</v>
      </c>
      <c r="H2443" s="4" t="s">
        <v>7780</v>
      </c>
      <c r="I2443" s="4" t="s">
        <v>7349</v>
      </c>
      <c r="J2443" s="4" t="s">
        <v>7545</v>
      </c>
      <c r="K2443" s="4" t="s">
        <v>7781</v>
      </c>
      <c r="L2443" s="5">
        <v>25100</v>
      </c>
    </row>
    <row r="2444" spans="1:12" x14ac:dyDescent="0.25">
      <c r="A2444" s="3" t="s">
        <v>6964</v>
      </c>
      <c r="B2444" s="4" t="s">
        <v>7326</v>
      </c>
      <c r="C2444" s="4" t="s">
        <v>25</v>
      </c>
      <c r="D2444" s="4" t="s">
        <v>26</v>
      </c>
      <c r="E2444" s="5" t="str">
        <f>"9060487"</f>
        <v>9060487</v>
      </c>
      <c r="F2444" s="3" t="s">
        <v>7782</v>
      </c>
      <c r="G2444" s="5">
        <v>2610433781</v>
      </c>
      <c r="H2444" s="4" t="s">
        <v>7783</v>
      </c>
      <c r="I2444" s="4" t="s">
        <v>7329</v>
      </c>
      <c r="J2444" s="4" t="s">
        <v>7334</v>
      </c>
      <c r="K2444" s="4" t="s">
        <v>7438</v>
      </c>
      <c r="L2444" s="5">
        <v>26442</v>
      </c>
    </row>
    <row r="2445" spans="1:12" x14ac:dyDescent="0.25">
      <c r="A2445" s="3" t="s">
        <v>6964</v>
      </c>
      <c r="B2445" s="4" t="s">
        <v>7326</v>
      </c>
      <c r="C2445" s="4" t="s">
        <v>25</v>
      </c>
      <c r="D2445" s="4" t="s">
        <v>26</v>
      </c>
      <c r="E2445" s="5" t="str">
        <f>"9060614"</f>
        <v>9060614</v>
      </c>
      <c r="F2445" s="3" t="s">
        <v>7784</v>
      </c>
      <c r="G2445" s="5">
        <v>2610526110</v>
      </c>
      <c r="H2445" s="4" t="s">
        <v>7785</v>
      </c>
      <c r="I2445" s="4" t="s">
        <v>7329</v>
      </c>
      <c r="J2445" s="4" t="s">
        <v>7516</v>
      </c>
      <c r="K2445" s="4" t="s">
        <v>7786</v>
      </c>
      <c r="L2445" s="5">
        <v>26500</v>
      </c>
    </row>
    <row r="2446" spans="1:12" x14ac:dyDescent="0.25">
      <c r="A2446" s="3" t="s">
        <v>6964</v>
      </c>
      <c r="B2446" s="4" t="s">
        <v>7326</v>
      </c>
      <c r="C2446" s="4" t="s">
        <v>25</v>
      </c>
      <c r="D2446" s="4" t="s">
        <v>26</v>
      </c>
      <c r="E2446" s="5" t="str">
        <f>"9060488"</f>
        <v>9060488</v>
      </c>
      <c r="F2446" s="3" t="s">
        <v>7787</v>
      </c>
      <c r="G2446" s="5">
        <v>2610522002</v>
      </c>
      <c r="H2446" s="4" t="s">
        <v>7788</v>
      </c>
      <c r="I2446" s="4" t="s">
        <v>7329</v>
      </c>
      <c r="J2446" s="4" t="s">
        <v>7789</v>
      </c>
      <c r="K2446" s="4" t="s">
        <v>7790</v>
      </c>
      <c r="L2446" s="5">
        <v>26500</v>
      </c>
    </row>
    <row r="2447" spans="1:12" x14ac:dyDescent="0.25">
      <c r="A2447" s="3" t="s">
        <v>6964</v>
      </c>
      <c r="B2447" s="4" t="s">
        <v>7326</v>
      </c>
      <c r="C2447" s="4" t="s">
        <v>14</v>
      </c>
      <c r="D2447" s="4" t="s">
        <v>15</v>
      </c>
      <c r="E2447" s="5" t="str">
        <f>"9060320"</f>
        <v>9060320</v>
      </c>
      <c r="F2447" s="3" t="s">
        <v>7791</v>
      </c>
      <c r="G2447" s="5">
        <v>2610275735</v>
      </c>
      <c r="H2447" s="4" t="s">
        <v>7792</v>
      </c>
      <c r="I2447" s="4" t="s">
        <v>7329</v>
      </c>
      <c r="J2447" s="4" t="s">
        <v>7330</v>
      </c>
      <c r="K2447" s="4" t="s">
        <v>7793</v>
      </c>
      <c r="L2447" s="5">
        <v>26331</v>
      </c>
    </row>
    <row r="2448" spans="1:12" x14ac:dyDescent="0.25">
      <c r="A2448" s="3" t="s">
        <v>6964</v>
      </c>
      <c r="B2448" s="4" t="s">
        <v>7326</v>
      </c>
      <c r="C2448" s="4" t="s">
        <v>14</v>
      </c>
      <c r="D2448" s="4" t="s">
        <v>15</v>
      </c>
      <c r="E2448" s="5" t="str">
        <f>"9060238"</f>
        <v>9060238</v>
      </c>
      <c r="F2448" s="3" t="s">
        <v>7794</v>
      </c>
      <c r="G2448" s="5">
        <v>2610421053</v>
      </c>
      <c r="H2448" s="4" t="s">
        <v>7795</v>
      </c>
      <c r="I2448" s="4" t="s">
        <v>7329</v>
      </c>
      <c r="J2448" s="4" t="s">
        <v>7330</v>
      </c>
      <c r="K2448" s="4" t="s">
        <v>7796</v>
      </c>
      <c r="L2448" s="5">
        <v>26441</v>
      </c>
    </row>
    <row r="2449" spans="1:12" x14ac:dyDescent="0.25">
      <c r="A2449" s="3" t="s">
        <v>6964</v>
      </c>
      <c r="B2449" s="4" t="s">
        <v>7326</v>
      </c>
      <c r="C2449" s="4" t="s">
        <v>14</v>
      </c>
      <c r="D2449" s="4" t="s">
        <v>15</v>
      </c>
      <c r="E2449" s="5" t="str">
        <f>"9060159"</f>
        <v>9060159</v>
      </c>
      <c r="F2449" s="3" t="s">
        <v>7797</v>
      </c>
      <c r="G2449" s="5">
        <v>2693360593</v>
      </c>
      <c r="H2449" s="4" t="s">
        <v>7798</v>
      </c>
      <c r="I2449" s="4" t="s">
        <v>7377</v>
      </c>
      <c r="J2449" s="4" t="s">
        <v>7799</v>
      </c>
      <c r="K2449" s="4" t="s">
        <v>7799</v>
      </c>
      <c r="L2449" s="5">
        <v>25002</v>
      </c>
    </row>
    <row r="2450" spans="1:12" x14ac:dyDescent="0.25">
      <c r="A2450" s="3" t="s">
        <v>6964</v>
      </c>
      <c r="B2450" s="4" t="s">
        <v>7326</v>
      </c>
      <c r="C2450" s="4" t="s">
        <v>14</v>
      </c>
      <c r="D2450" s="4" t="s">
        <v>15</v>
      </c>
      <c r="E2450" s="5" t="str">
        <f>"9060012"</f>
        <v>9060012</v>
      </c>
      <c r="F2450" s="3" t="s">
        <v>7800</v>
      </c>
      <c r="G2450" s="5">
        <v>2691023224</v>
      </c>
      <c r="H2450" s="4" t="s">
        <v>7801</v>
      </c>
      <c r="I2450" s="4" t="s">
        <v>7349</v>
      </c>
      <c r="J2450" s="4" t="s">
        <v>7545</v>
      </c>
      <c r="K2450" s="4" t="s">
        <v>7532</v>
      </c>
      <c r="L2450" s="5">
        <v>25100</v>
      </c>
    </row>
    <row r="2451" spans="1:12" x14ac:dyDescent="0.25">
      <c r="A2451" s="3" t="s">
        <v>6964</v>
      </c>
      <c r="B2451" s="4" t="s">
        <v>7326</v>
      </c>
      <c r="C2451" s="4" t="s">
        <v>14</v>
      </c>
      <c r="D2451" s="4" t="s">
        <v>15</v>
      </c>
      <c r="E2451" s="5" t="str">
        <f>"9060444"</f>
        <v>9060444</v>
      </c>
      <c r="F2451" s="3" t="s">
        <v>7802</v>
      </c>
      <c r="G2451" s="5">
        <v>2691068108</v>
      </c>
      <c r="H2451" s="4" t="s">
        <v>7803</v>
      </c>
      <c r="I2451" s="4" t="s">
        <v>7349</v>
      </c>
      <c r="J2451" s="4" t="s">
        <v>7545</v>
      </c>
      <c r="K2451" s="4" t="s">
        <v>7557</v>
      </c>
      <c r="L2451" s="5">
        <v>25100</v>
      </c>
    </row>
    <row r="2452" spans="1:12" x14ac:dyDescent="0.25">
      <c r="A2452" s="3" t="s">
        <v>6964</v>
      </c>
      <c r="B2452" s="4" t="s">
        <v>7326</v>
      </c>
      <c r="C2452" s="4" t="s">
        <v>14</v>
      </c>
      <c r="D2452" s="4" t="s">
        <v>15</v>
      </c>
      <c r="E2452" s="5" t="str">
        <f>"9060349"</f>
        <v>9060349</v>
      </c>
      <c r="F2452" s="3" t="s">
        <v>7804</v>
      </c>
      <c r="G2452" s="5">
        <v>2610521491</v>
      </c>
      <c r="H2452" s="4" t="s">
        <v>7805</v>
      </c>
      <c r="I2452" s="4" t="s">
        <v>7329</v>
      </c>
      <c r="J2452" s="4" t="s">
        <v>7806</v>
      </c>
      <c r="K2452" s="4" t="s">
        <v>7806</v>
      </c>
      <c r="L2452" s="5">
        <v>26500</v>
      </c>
    </row>
    <row r="2453" spans="1:12" x14ac:dyDescent="0.25">
      <c r="A2453" s="3" t="s">
        <v>6964</v>
      </c>
      <c r="B2453" s="4" t="s">
        <v>7326</v>
      </c>
      <c r="C2453" s="4" t="s">
        <v>25</v>
      </c>
      <c r="D2453" s="4" t="s">
        <v>26</v>
      </c>
      <c r="E2453" s="5" t="str">
        <f>"9520962"</f>
        <v>9520962</v>
      </c>
      <c r="F2453" s="3" t="s">
        <v>7807</v>
      </c>
      <c r="G2453" s="5">
        <v>2610600808</v>
      </c>
      <c r="H2453" s="4" t="s">
        <v>7808</v>
      </c>
      <c r="I2453" s="4" t="s">
        <v>7329</v>
      </c>
      <c r="J2453" s="4" t="s">
        <v>7334</v>
      </c>
      <c r="K2453" s="4" t="s">
        <v>7809</v>
      </c>
      <c r="L2453" s="5">
        <v>26442</v>
      </c>
    </row>
    <row r="2454" spans="1:12" x14ac:dyDescent="0.25">
      <c r="A2454" s="3" t="s">
        <v>6964</v>
      </c>
      <c r="B2454" s="4" t="s">
        <v>7326</v>
      </c>
      <c r="C2454" s="4" t="s">
        <v>14</v>
      </c>
      <c r="D2454" s="4" t="s">
        <v>15</v>
      </c>
      <c r="E2454" s="5" t="str">
        <f>"9060028"</f>
        <v>9060028</v>
      </c>
      <c r="F2454" s="3" t="s">
        <v>7810</v>
      </c>
      <c r="G2454" s="5">
        <v>2691081204</v>
      </c>
      <c r="H2454" s="4" t="s">
        <v>7811</v>
      </c>
      <c r="I2454" s="4" t="s">
        <v>7349</v>
      </c>
      <c r="J2454" s="4" t="s">
        <v>7812</v>
      </c>
      <c r="K2454" s="4" t="s">
        <v>7813</v>
      </c>
      <c r="L2454" s="5">
        <v>25100</v>
      </c>
    </row>
    <row r="2455" spans="1:12" x14ac:dyDescent="0.25">
      <c r="A2455" s="3" t="s">
        <v>6964</v>
      </c>
      <c r="B2455" s="4" t="s">
        <v>7326</v>
      </c>
      <c r="C2455" s="4" t="s">
        <v>14</v>
      </c>
      <c r="D2455" s="4" t="s">
        <v>15</v>
      </c>
      <c r="E2455" s="5" t="str">
        <f>"9060024"</f>
        <v>9060024</v>
      </c>
      <c r="F2455" s="3" t="s">
        <v>7814</v>
      </c>
      <c r="G2455" s="5">
        <v>2691041697</v>
      </c>
      <c r="H2455" s="4" t="s">
        <v>7815</v>
      </c>
      <c r="I2455" s="4" t="s">
        <v>7349</v>
      </c>
      <c r="J2455" s="4" t="s">
        <v>7422</v>
      </c>
      <c r="K2455" s="4" t="s">
        <v>7422</v>
      </c>
      <c r="L2455" s="5">
        <v>25003</v>
      </c>
    </row>
    <row r="2456" spans="1:12" x14ac:dyDescent="0.25">
      <c r="A2456" s="3" t="s">
        <v>6964</v>
      </c>
      <c r="B2456" s="4" t="s">
        <v>7326</v>
      </c>
      <c r="C2456" s="4" t="s">
        <v>14</v>
      </c>
      <c r="D2456" s="4" t="s">
        <v>15</v>
      </c>
      <c r="E2456" s="5" t="str">
        <f>"9060191"</f>
        <v>9060191</v>
      </c>
      <c r="F2456" s="3" t="s">
        <v>7816</v>
      </c>
      <c r="G2456" s="5">
        <v>2693360558</v>
      </c>
      <c r="H2456" s="4" t="s">
        <v>7817</v>
      </c>
      <c r="I2456" s="4" t="s">
        <v>7377</v>
      </c>
      <c r="J2456" s="4" t="s">
        <v>7818</v>
      </c>
      <c r="K2456" s="4" t="s">
        <v>7818</v>
      </c>
      <c r="L2456" s="5">
        <v>25200</v>
      </c>
    </row>
    <row r="2457" spans="1:12" x14ac:dyDescent="0.25">
      <c r="A2457" s="3" t="s">
        <v>6964</v>
      </c>
      <c r="B2457" s="4" t="s">
        <v>7326</v>
      </c>
      <c r="C2457" s="4" t="s">
        <v>14</v>
      </c>
      <c r="D2457" s="4" t="s">
        <v>15</v>
      </c>
      <c r="E2457" s="5" t="str">
        <f>"9060523"</f>
        <v>9060523</v>
      </c>
      <c r="F2457" s="3" t="s">
        <v>7819</v>
      </c>
      <c r="G2457" s="5">
        <v>2610313453</v>
      </c>
      <c r="H2457" s="4" t="s">
        <v>7820</v>
      </c>
      <c r="I2457" s="4" t="s">
        <v>7329</v>
      </c>
      <c r="J2457" s="4" t="s">
        <v>7330</v>
      </c>
      <c r="K2457" s="4" t="s">
        <v>7821</v>
      </c>
      <c r="L2457" s="5">
        <v>26334</v>
      </c>
    </row>
    <row r="2458" spans="1:12" x14ac:dyDescent="0.25">
      <c r="A2458" s="3" t="s">
        <v>6964</v>
      </c>
      <c r="B2458" s="4" t="s">
        <v>7326</v>
      </c>
      <c r="C2458" s="4" t="s">
        <v>14</v>
      </c>
      <c r="D2458" s="4" t="s">
        <v>15</v>
      </c>
      <c r="E2458" s="5" t="str">
        <f>"9060311"</f>
        <v>9060311</v>
      </c>
      <c r="F2458" s="3" t="s">
        <v>7822</v>
      </c>
      <c r="G2458" s="5">
        <v>2610361099</v>
      </c>
      <c r="H2458" s="4" t="s">
        <v>7823</v>
      </c>
      <c r="I2458" s="4" t="s">
        <v>7329</v>
      </c>
      <c r="J2458" s="4" t="s">
        <v>7330</v>
      </c>
      <c r="K2458" s="4" t="s">
        <v>7824</v>
      </c>
      <c r="L2458" s="5">
        <v>26334</v>
      </c>
    </row>
    <row r="2459" spans="1:12" x14ac:dyDescent="0.25">
      <c r="A2459" s="3" t="s">
        <v>6964</v>
      </c>
      <c r="B2459" s="4" t="s">
        <v>7326</v>
      </c>
      <c r="C2459" s="4" t="s">
        <v>14</v>
      </c>
      <c r="D2459" s="4" t="s">
        <v>15</v>
      </c>
      <c r="E2459" s="5" t="str">
        <f>"9060382"</f>
        <v>9060382</v>
      </c>
      <c r="F2459" s="3" t="s">
        <v>7825</v>
      </c>
      <c r="G2459" s="5">
        <v>2610640147</v>
      </c>
      <c r="H2459" s="4" t="s">
        <v>7826</v>
      </c>
      <c r="I2459" s="4" t="s">
        <v>7329</v>
      </c>
      <c r="J2459" s="4" t="s">
        <v>7353</v>
      </c>
      <c r="K2459" s="4" t="s">
        <v>7827</v>
      </c>
      <c r="L2459" s="5">
        <v>26500</v>
      </c>
    </row>
    <row r="2460" spans="1:12" x14ac:dyDescent="0.25">
      <c r="A2460" s="3" t="s">
        <v>6964</v>
      </c>
      <c r="B2460" s="4" t="s">
        <v>7326</v>
      </c>
      <c r="C2460" s="4" t="s">
        <v>14</v>
      </c>
      <c r="D2460" s="4" t="s">
        <v>15</v>
      </c>
      <c r="E2460" s="5" t="str">
        <f>"9060549"</f>
        <v>9060549</v>
      </c>
      <c r="F2460" s="3" t="s">
        <v>7828</v>
      </c>
      <c r="G2460" s="5">
        <v>2610328747</v>
      </c>
      <c r="H2460" s="4" t="s">
        <v>7829</v>
      </c>
      <c r="I2460" s="4" t="s">
        <v>7329</v>
      </c>
      <c r="J2460" s="4" t="s">
        <v>7330</v>
      </c>
      <c r="K2460" s="4" t="s">
        <v>7687</v>
      </c>
      <c r="L2460" s="5">
        <v>26334</v>
      </c>
    </row>
    <row r="2461" spans="1:12" x14ac:dyDescent="0.25">
      <c r="A2461" s="3" t="s">
        <v>6964</v>
      </c>
      <c r="B2461" s="4" t="s">
        <v>7326</v>
      </c>
      <c r="C2461" s="4" t="s">
        <v>14</v>
      </c>
      <c r="D2461" s="4" t="s">
        <v>15</v>
      </c>
      <c r="E2461" s="5" t="str">
        <f>"9060145"</f>
        <v>9060145</v>
      </c>
      <c r="F2461" s="3" t="s">
        <v>7830</v>
      </c>
      <c r="G2461" s="5">
        <v>2610323994</v>
      </c>
      <c r="H2461" s="4" t="s">
        <v>7831</v>
      </c>
      <c r="I2461" s="4" t="s">
        <v>7329</v>
      </c>
      <c r="J2461" s="4" t="s">
        <v>7330</v>
      </c>
      <c r="K2461" s="4" t="s">
        <v>7549</v>
      </c>
      <c r="L2461" s="5">
        <v>26222</v>
      </c>
    </row>
    <row r="2462" spans="1:12" x14ac:dyDescent="0.25">
      <c r="A2462" s="3" t="s">
        <v>6964</v>
      </c>
      <c r="B2462" s="4" t="s">
        <v>7326</v>
      </c>
      <c r="C2462" s="4" t="s">
        <v>14</v>
      </c>
      <c r="D2462" s="4" t="s">
        <v>15</v>
      </c>
      <c r="E2462" s="5" t="str">
        <f>"9060617"</f>
        <v>9060617</v>
      </c>
      <c r="F2462" s="3" t="s">
        <v>7832</v>
      </c>
      <c r="G2462" s="5">
        <v>2693025275</v>
      </c>
      <c r="H2462" s="4" t="s">
        <v>7833</v>
      </c>
      <c r="I2462" s="4" t="s">
        <v>7377</v>
      </c>
      <c r="J2462" s="4" t="s">
        <v>7378</v>
      </c>
      <c r="K2462" s="4" t="s">
        <v>7834</v>
      </c>
      <c r="L2462" s="5">
        <v>25200</v>
      </c>
    </row>
    <row r="2463" spans="1:12" x14ac:dyDescent="0.25">
      <c r="A2463" s="3" t="s">
        <v>6964</v>
      </c>
      <c r="B2463" s="4" t="s">
        <v>7326</v>
      </c>
      <c r="C2463" s="4" t="s">
        <v>14</v>
      </c>
      <c r="D2463" s="4" t="s">
        <v>15</v>
      </c>
      <c r="E2463" s="5" t="str">
        <f>"9060234"</f>
        <v>9060234</v>
      </c>
      <c r="F2463" s="3" t="s">
        <v>7835</v>
      </c>
      <c r="G2463" s="5">
        <v>2610271726</v>
      </c>
      <c r="H2463" s="4" t="s">
        <v>7836</v>
      </c>
      <c r="I2463" s="4" t="s">
        <v>7329</v>
      </c>
      <c r="J2463" s="4" t="s">
        <v>7330</v>
      </c>
      <c r="K2463" s="4" t="s">
        <v>7837</v>
      </c>
      <c r="L2463" s="5">
        <v>26331</v>
      </c>
    </row>
    <row r="2464" spans="1:12" x14ac:dyDescent="0.25">
      <c r="A2464" s="3" t="s">
        <v>6964</v>
      </c>
      <c r="B2464" s="4" t="s">
        <v>7326</v>
      </c>
      <c r="C2464" s="4" t="s">
        <v>14</v>
      </c>
      <c r="D2464" s="4" t="s">
        <v>15</v>
      </c>
      <c r="E2464" s="5" t="str">
        <f>"9060147"</f>
        <v>9060147</v>
      </c>
      <c r="F2464" s="3" t="s">
        <v>7838</v>
      </c>
      <c r="G2464" s="5">
        <v>2610325212</v>
      </c>
      <c r="H2464" s="4" t="s">
        <v>7839</v>
      </c>
      <c r="I2464" s="4" t="s">
        <v>7329</v>
      </c>
      <c r="J2464" s="4" t="s">
        <v>7338</v>
      </c>
      <c r="K2464" s="4" t="s">
        <v>7840</v>
      </c>
      <c r="L2464" s="5">
        <v>26332</v>
      </c>
    </row>
    <row r="2465" spans="1:12" x14ac:dyDescent="0.25">
      <c r="A2465" s="3" t="s">
        <v>6964</v>
      </c>
      <c r="B2465" s="4" t="s">
        <v>7326</v>
      </c>
      <c r="C2465" s="4" t="s">
        <v>14</v>
      </c>
      <c r="D2465" s="4" t="s">
        <v>15</v>
      </c>
      <c r="E2465" s="5" t="str">
        <f>"9060237"</f>
        <v>9060237</v>
      </c>
      <c r="F2465" s="3" t="s">
        <v>7841</v>
      </c>
      <c r="G2465" s="5">
        <v>2610274185</v>
      </c>
      <c r="H2465" s="4" t="s">
        <v>7842</v>
      </c>
      <c r="I2465" s="4" t="s">
        <v>7329</v>
      </c>
      <c r="J2465" s="4" t="s">
        <v>7330</v>
      </c>
      <c r="K2465" s="4" t="s">
        <v>7573</v>
      </c>
      <c r="L2465" s="5">
        <v>26223</v>
      </c>
    </row>
    <row r="2466" spans="1:12" x14ac:dyDescent="0.25">
      <c r="A2466" s="3" t="s">
        <v>6964</v>
      </c>
      <c r="B2466" s="4" t="s">
        <v>7326</v>
      </c>
      <c r="C2466" s="4" t="s">
        <v>14</v>
      </c>
      <c r="D2466" s="4" t="s">
        <v>15</v>
      </c>
      <c r="E2466" s="5" t="str">
        <f>"9060177"</f>
        <v>9060177</v>
      </c>
      <c r="F2466" s="3" t="s">
        <v>7843</v>
      </c>
      <c r="G2466" s="5">
        <v>2693081281</v>
      </c>
      <c r="H2466" s="4" t="s">
        <v>7844</v>
      </c>
      <c r="I2466" s="4" t="s">
        <v>7377</v>
      </c>
      <c r="J2466" s="4" t="s">
        <v>7845</v>
      </c>
      <c r="K2466" s="4" t="s">
        <v>7845</v>
      </c>
      <c r="L2466" s="5">
        <v>25200</v>
      </c>
    </row>
    <row r="2467" spans="1:12" x14ac:dyDescent="0.25">
      <c r="A2467" s="3" t="s">
        <v>6964</v>
      </c>
      <c r="B2467" s="4" t="s">
        <v>7326</v>
      </c>
      <c r="C2467" s="4" t="s">
        <v>14</v>
      </c>
      <c r="D2467" s="4" t="s">
        <v>15</v>
      </c>
      <c r="E2467" s="5" t="str">
        <f>"9060010"</f>
        <v>9060010</v>
      </c>
      <c r="F2467" s="3" t="s">
        <v>7846</v>
      </c>
      <c r="G2467" s="5">
        <v>2691023501</v>
      </c>
      <c r="H2467" s="4" t="s">
        <v>7847</v>
      </c>
      <c r="I2467" s="4" t="s">
        <v>7349</v>
      </c>
      <c r="J2467" s="4" t="s">
        <v>7545</v>
      </c>
      <c r="K2467" s="4" t="s">
        <v>7848</v>
      </c>
      <c r="L2467" s="5">
        <v>25100</v>
      </c>
    </row>
    <row r="2468" spans="1:12" x14ac:dyDescent="0.25">
      <c r="A2468" s="3" t="s">
        <v>6964</v>
      </c>
      <c r="B2468" s="4" t="s">
        <v>7326</v>
      </c>
      <c r="C2468" s="4" t="s">
        <v>14</v>
      </c>
      <c r="D2468" s="4" t="s">
        <v>15</v>
      </c>
      <c r="E2468" s="5" t="str">
        <f>"9060174"</f>
        <v>9060174</v>
      </c>
      <c r="F2468" s="3" t="s">
        <v>7849</v>
      </c>
      <c r="G2468" s="5">
        <v>2610671592</v>
      </c>
      <c r="H2468" s="4" t="s">
        <v>7850</v>
      </c>
      <c r="I2468" s="4" t="s">
        <v>7329</v>
      </c>
      <c r="J2468" s="4" t="s">
        <v>7851</v>
      </c>
      <c r="K2468" s="4" t="s">
        <v>7852</v>
      </c>
      <c r="L2468" s="5">
        <v>25002</v>
      </c>
    </row>
    <row r="2469" spans="1:12" x14ac:dyDescent="0.25">
      <c r="A2469" s="3" t="s">
        <v>6964</v>
      </c>
      <c r="B2469" s="4" t="s">
        <v>7326</v>
      </c>
      <c r="C2469" s="4" t="s">
        <v>14</v>
      </c>
      <c r="D2469" s="4" t="s">
        <v>15</v>
      </c>
      <c r="E2469" s="5" t="str">
        <f>"9060594"</f>
        <v>9060594</v>
      </c>
      <c r="F2469" s="3" t="s">
        <v>7853</v>
      </c>
      <c r="G2469" s="5">
        <v>2610991961</v>
      </c>
      <c r="H2469" s="4" t="s">
        <v>7854</v>
      </c>
      <c r="I2469" s="4" t="s">
        <v>7329</v>
      </c>
      <c r="J2469" s="4" t="s">
        <v>7683</v>
      </c>
      <c r="K2469" s="4" t="s">
        <v>7855</v>
      </c>
      <c r="L2469" s="5">
        <v>26504</v>
      </c>
    </row>
    <row r="2470" spans="1:12" x14ac:dyDescent="0.25">
      <c r="A2470" s="3" t="s">
        <v>6964</v>
      </c>
      <c r="B2470" s="4" t="s">
        <v>7326</v>
      </c>
      <c r="C2470" s="4" t="s">
        <v>14</v>
      </c>
      <c r="D2470" s="4" t="s">
        <v>15</v>
      </c>
      <c r="E2470" s="5" t="str">
        <f>"9060317"</f>
        <v>9060317</v>
      </c>
      <c r="F2470" s="3" t="s">
        <v>7856</v>
      </c>
      <c r="G2470" s="5">
        <v>2610521189</v>
      </c>
      <c r="H2470" s="4" t="s">
        <v>7857</v>
      </c>
      <c r="I2470" s="4" t="s">
        <v>7329</v>
      </c>
      <c r="J2470" s="4" t="s">
        <v>7330</v>
      </c>
      <c r="K2470" s="4" t="s">
        <v>7858</v>
      </c>
      <c r="L2470" s="5">
        <v>26332</v>
      </c>
    </row>
    <row r="2471" spans="1:12" x14ac:dyDescent="0.25">
      <c r="A2471" s="3" t="s">
        <v>6964</v>
      </c>
      <c r="B2471" s="4" t="s">
        <v>7326</v>
      </c>
      <c r="C2471" s="4" t="s">
        <v>14</v>
      </c>
      <c r="D2471" s="4" t="s">
        <v>15</v>
      </c>
      <c r="E2471" s="5" t="str">
        <f>"9060138"</f>
        <v>9060138</v>
      </c>
      <c r="F2471" s="3" t="s">
        <v>7859</v>
      </c>
      <c r="G2471" s="5">
        <v>2692051218</v>
      </c>
      <c r="H2471" s="4" t="s">
        <v>7860</v>
      </c>
      <c r="I2471" s="4" t="s">
        <v>7456</v>
      </c>
      <c r="J2471" s="4" t="s">
        <v>7861</v>
      </c>
      <c r="K2471" s="4" t="s">
        <v>7861</v>
      </c>
      <c r="L2471" s="5">
        <v>25016</v>
      </c>
    </row>
    <row r="2472" spans="1:12" x14ac:dyDescent="0.25">
      <c r="A2472" s="3" t="s">
        <v>6964</v>
      </c>
      <c r="B2472" s="4" t="s">
        <v>7326</v>
      </c>
      <c r="C2472" s="4" t="s">
        <v>14</v>
      </c>
      <c r="D2472" s="4" t="s">
        <v>15</v>
      </c>
      <c r="E2472" s="5" t="str">
        <f>"9060251"</f>
        <v>9060251</v>
      </c>
      <c r="F2472" s="3" t="s">
        <v>7862</v>
      </c>
      <c r="G2472" s="5">
        <v>2610271366</v>
      </c>
      <c r="H2472" s="4" t="s">
        <v>7863</v>
      </c>
      <c r="I2472" s="4" t="s">
        <v>7329</v>
      </c>
      <c r="J2472" s="4" t="s">
        <v>7330</v>
      </c>
      <c r="K2472" s="4" t="s">
        <v>7864</v>
      </c>
      <c r="L2472" s="5">
        <v>26225</v>
      </c>
    </row>
    <row r="2473" spans="1:12" x14ac:dyDescent="0.25">
      <c r="A2473" s="3" t="s">
        <v>6964</v>
      </c>
      <c r="B2473" s="4" t="s">
        <v>7326</v>
      </c>
      <c r="C2473" s="4" t="s">
        <v>14</v>
      </c>
      <c r="D2473" s="4" t="s">
        <v>15</v>
      </c>
      <c r="E2473" s="5" t="str">
        <f>"9060243"</f>
        <v>9060243</v>
      </c>
      <c r="F2473" s="3" t="s">
        <v>7865</v>
      </c>
      <c r="G2473" s="5">
        <v>2610275494</v>
      </c>
      <c r="H2473" s="4" t="s">
        <v>7866</v>
      </c>
      <c r="I2473" s="4" t="s">
        <v>7329</v>
      </c>
      <c r="J2473" s="4" t="s">
        <v>7330</v>
      </c>
      <c r="K2473" s="4" t="s">
        <v>7867</v>
      </c>
      <c r="L2473" s="5">
        <v>26225</v>
      </c>
    </row>
    <row r="2474" spans="1:12" x14ac:dyDescent="0.25">
      <c r="A2474" s="3" t="s">
        <v>6964</v>
      </c>
      <c r="B2474" s="4" t="s">
        <v>7326</v>
      </c>
      <c r="C2474" s="4" t="s">
        <v>14</v>
      </c>
      <c r="D2474" s="4" t="s">
        <v>15</v>
      </c>
      <c r="E2474" s="5" t="str">
        <f>"9060236"</f>
        <v>9060236</v>
      </c>
      <c r="F2474" s="3" t="s">
        <v>7868</v>
      </c>
      <c r="G2474" s="5">
        <v>2610421034</v>
      </c>
      <c r="H2474" s="4" t="s">
        <v>7869</v>
      </c>
      <c r="I2474" s="4" t="s">
        <v>7329</v>
      </c>
      <c r="J2474" s="4" t="s">
        <v>7353</v>
      </c>
      <c r="K2474" s="4" t="s">
        <v>7870</v>
      </c>
      <c r="L2474" s="5">
        <v>26442</v>
      </c>
    </row>
    <row r="2475" spans="1:12" x14ac:dyDescent="0.25">
      <c r="A2475" s="3" t="s">
        <v>6964</v>
      </c>
      <c r="B2475" s="4" t="s">
        <v>7326</v>
      </c>
      <c r="C2475" s="4" t="s">
        <v>14</v>
      </c>
      <c r="D2475" s="4" t="s">
        <v>15</v>
      </c>
      <c r="E2475" s="5" t="str">
        <f>"9060307"</f>
        <v>9060307</v>
      </c>
      <c r="F2475" s="3" t="s">
        <v>7871</v>
      </c>
      <c r="G2475" s="5">
        <v>2610279746</v>
      </c>
      <c r="H2475" s="4" t="s">
        <v>7872</v>
      </c>
      <c r="I2475" s="4" t="s">
        <v>7329</v>
      </c>
      <c r="J2475" s="4" t="s">
        <v>7330</v>
      </c>
      <c r="K2475" s="4" t="s">
        <v>7873</v>
      </c>
      <c r="L2475" s="5">
        <v>26331</v>
      </c>
    </row>
    <row r="2476" spans="1:12" x14ac:dyDescent="0.25">
      <c r="A2476" s="3" t="s">
        <v>6964</v>
      </c>
      <c r="B2476" s="4" t="s">
        <v>7326</v>
      </c>
      <c r="C2476" s="4" t="s">
        <v>14</v>
      </c>
      <c r="D2476" s="4" t="s">
        <v>15</v>
      </c>
      <c r="E2476" s="5" t="str">
        <f>"9060168"</f>
        <v>9060168</v>
      </c>
      <c r="F2476" s="3" t="s">
        <v>7874</v>
      </c>
      <c r="G2476" s="5">
        <v>2610670322</v>
      </c>
      <c r="H2476" s="4" t="s">
        <v>7875</v>
      </c>
      <c r="I2476" s="4" t="s">
        <v>7329</v>
      </c>
      <c r="J2476" s="4" t="s">
        <v>7876</v>
      </c>
      <c r="K2476" s="4" t="s">
        <v>7877</v>
      </c>
      <c r="L2476" s="5">
        <v>25002</v>
      </c>
    </row>
    <row r="2477" spans="1:12" x14ac:dyDescent="0.25">
      <c r="A2477" s="3" t="s">
        <v>6964</v>
      </c>
      <c r="B2477" s="4" t="s">
        <v>7326</v>
      </c>
      <c r="C2477" s="4" t="s">
        <v>14</v>
      </c>
      <c r="D2477" s="4" t="s">
        <v>15</v>
      </c>
      <c r="E2477" s="5" t="str">
        <f>"9060240"</f>
        <v>9060240</v>
      </c>
      <c r="F2477" s="3" t="s">
        <v>7878</v>
      </c>
      <c r="G2477" s="5">
        <v>2610420954</v>
      </c>
      <c r="H2477" s="4" t="s">
        <v>7879</v>
      </c>
      <c r="I2477" s="4" t="s">
        <v>7329</v>
      </c>
      <c r="J2477" s="4" t="s">
        <v>7330</v>
      </c>
      <c r="K2477" s="4" t="s">
        <v>7880</v>
      </c>
      <c r="L2477" s="5">
        <v>26441</v>
      </c>
    </row>
    <row r="2478" spans="1:12" x14ac:dyDescent="0.25">
      <c r="A2478" s="3" t="s">
        <v>6964</v>
      </c>
      <c r="B2478" s="4" t="s">
        <v>7326</v>
      </c>
      <c r="C2478" s="4" t="s">
        <v>14</v>
      </c>
      <c r="D2478" s="4" t="s">
        <v>15</v>
      </c>
      <c r="E2478" s="5" t="str">
        <f>"9060244"</f>
        <v>9060244</v>
      </c>
      <c r="F2478" s="3" t="s">
        <v>7881</v>
      </c>
      <c r="G2478" s="5">
        <v>2610422800</v>
      </c>
      <c r="H2478" s="4" t="s">
        <v>7882</v>
      </c>
      <c r="I2478" s="4" t="s">
        <v>7329</v>
      </c>
      <c r="J2478" s="4" t="s">
        <v>7353</v>
      </c>
      <c r="K2478" s="4" t="s">
        <v>7883</v>
      </c>
      <c r="L2478" s="5">
        <v>26443</v>
      </c>
    </row>
    <row r="2479" spans="1:12" x14ac:dyDescent="0.25">
      <c r="A2479" s="3" t="s">
        <v>6964</v>
      </c>
      <c r="B2479" s="4" t="s">
        <v>7326</v>
      </c>
      <c r="C2479" s="4" t="s">
        <v>14</v>
      </c>
      <c r="D2479" s="4" t="s">
        <v>15</v>
      </c>
      <c r="E2479" s="5" t="str">
        <f>"9060383"</f>
        <v>9060383</v>
      </c>
      <c r="F2479" s="3" t="s">
        <v>7884</v>
      </c>
      <c r="G2479" s="5">
        <v>2610424821</v>
      </c>
      <c r="H2479" s="4" t="s">
        <v>7885</v>
      </c>
      <c r="I2479" s="4" t="s">
        <v>7329</v>
      </c>
      <c r="J2479" s="4"/>
      <c r="K2479" s="4" t="s">
        <v>7886</v>
      </c>
      <c r="L2479" s="5">
        <v>26441</v>
      </c>
    </row>
    <row r="2480" spans="1:12" x14ac:dyDescent="0.25">
      <c r="A2480" s="3" t="s">
        <v>6964</v>
      </c>
      <c r="B2480" s="4" t="s">
        <v>7326</v>
      </c>
      <c r="C2480" s="4" t="s">
        <v>14</v>
      </c>
      <c r="D2480" s="4" t="s">
        <v>15</v>
      </c>
      <c r="E2480" s="5" t="str">
        <f>"9060517"</f>
        <v>9060517</v>
      </c>
      <c r="F2480" s="3" t="s">
        <v>7887</v>
      </c>
      <c r="G2480" s="5">
        <v>2610429213</v>
      </c>
      <c r="H2480" s="4" t="s">
        <v>7888</v>
      </c>
      <c r="I2480" s="4" t="s">
        <v>7329</v>
      </c>
      <c r="J2480" s="4" t="s">
        <v>7330</v>
      </c>
      <c r="K2480" s="4" t="s">
        <v>7620</v>
      </c>
      <c r="L2480" s="5">
        <v>26441</v>
      </c>
    </row>
    <row r="2481" spans="1:12" x14ac:dyDescent="0.25">
      <c r="A2481" s="3" t="s">
        <v>6964</v>
      </c>
      <c r="B2481" s="4" t="s">
        <v>7326</v>
      </c>
      <c r="C2481" s="4" t="s">
        <v>14</v>
      </c>
      <c r="D2481" s="4" t="s">
        <v>15</v>
      </c>
      <c r="E2481" s="5" t="str">
        <f>"9060294"</f>
        <v>9060294</v>
      </c>
      <c r="F2481" s="3" t="s">
        <v>7889</v>
      </c>
      <c r="G2481" s="5">
        <v>2694022188</v>
      </c>
      <c r="H2481" s="4" t="s">
        <v>7890</v>
      </c>
      <c r="I2481" s="4" t="s">
        <v>7520</v>
      </c>
      <c r="J2481" s="4" t="s">
        <v>7891</v>
      </c>
      <c r="K2481" s="4" t="s">
        <v>7892</v>
      </c>
      <c r="L2481" s="5">
        <v>25008</v>
      </c>
    </row>
    <row r="2482" spans="1:12" x14ac:dyDescent="0.25">
      <c r="A2482" s="3" t="s">
        <v>6964</v>
      </c>
      <c r="B2482" s="4" t="s">
        <v>7326</v>
      </c>
      <c r="C2482" s="4" t="s">
        <v>14</v>
      </c>
      <c r="D2482" s="4" t="s">
        <v>15</v>
      </c>
      <c r="E2482" s="5" t="str">
        <f>"9060246"</f>
        <v>9060246</v>
      </c>
      <c r="F2482" s="3" t="s">
        <v>7893</v>
      </c>
      <c r="G2482" s="5">
        <v>2613600807</v>
      </c>
      <c r="H2482" s="4" t="s">
        <v>7894</v>
      </c>
      <c r="I2482" s="4" t="s">
        <v>7329</v>
      </c>
      <c r="J2482" s="4" t="s">
        <v>7330</v>
      </c>
      <c r="K2482" s="4" t="s">
        <v>7895</v>
      </c>
      <c r="L2482" s="5">
        <v>26443</v>
      </c>
    </row>
    <row r="2483" spans="1:12" x14ac:dyDescent="0.25">
      <c r="A2483" s="3" t="s">
        <v>6964</v>
      </c>
      <c r="B2483" s="4" t="s">
        <v>7326</v>
      </c>
      <c r="C2483" s="4" t="s">
        <v>14</v>
      </c>
      <c r="D2483" s="4" t="s">
        <v>15</v>
      </c>
      <c r="E2483" s="5" t="str">
        <f>"9060249"</f>
        <v>9060249</v>
      </c>
      <c r="F2483" s="3" t="s">
        <v>7896</v>
      </c>
      <c r="G2483" s="5">
        <v>2610421055</v>
      </c>
      <c r="H2483" s="4" t="s">
        <v>7897</v>
      </c>
      <c r="I2483" s="4" t="s">
        <v>7329</v>
      </c>
      <c r="J2483" s="4" t="s">
        <v>7330</v>
      </c>
      <c r="K2483" s="4" t="s">
        <v>7898</v>
      </c>
      <c r="L2483" s="5">
        <v>26443</v>
      </c>
    </row>
    <row r="2484" spans="1:12" x14ac:dyDescent="0.25">
      <c r="A2484" s="3" t="s">
        <v>6964</v>
      </c>
      <c r="B2484" s="4" t="s">
        <v>7326</v>
      </c>
      <c r="C2484" s="4" t="s">
        <v>14</v>
      </c>
      <c r="D2484" s="4" t="s">
        <v>15</v>
      </c>
      <c r="E2484" s="5" t="str">
        <f>"9060195"</f>
        <v>9060195</v>
      </c>
      <c r="F2484" s="3" t="s">
        <v>7899</v>
      </c>
      <c r="G2484" s="5">
        <v>2693031490</v>
      </c>
      <c r="H2484" s="4" t="s">
        <v>7900</v>
      </c>
      <c r="I2484" s="4" t="s">
        <v>7377</v>
      </c>
      <c r="J2484" s="4" t="s">
        <v>7728</v>
      </c>
      <c r="K2484" s="4" t="s">
        <v>7901</v>
      </c>
      <c r="L2484" s="5">
        <v>27052</v>
      </c>
    </row>
    <row r="2485" spans="1:12" ht="30" x14ac:dyDescent="0.25">
      <c r="A2485" s="3" t="s">
        <v>6964</v>
      </c>
      <c r="B2485" s="4" t="s">
        <v>7326</v>
      </c>
      <c r="C2485" s="4" t="s">
        <v>14</v>
      </c>
      <c r="D2485" s="4" t="s">
        <v>452</v>
      </c>
      <c r="E2485" s="5" t="str">
        <f>"9060439"</f>
        <v>9060439</v>
      </c>
      <c r="F2485" s="3" t="s">
        <v>7902</v>
      </c>
      <c r="G2485" s="5">
        <v>2610992100</v>
      </c>
      <c r="H2485" s="4" t="s">
        <v>7903</v>
      </c>
      <c r="I2485" s="4" t="s">
        <v>7329</v>
      </c>
      <c r="J2485" s="4" t="s">
        <v>7904</v>
      </c>
      <c r="K2485" s="4" t="s">
        <v>7905</v>
      </c>
      <c r="L2485" s="5">
        <v>26504</v>
      </c>
    </row>
    <row r="2486" spans="1:12" x14ac:dyDescent="0.25">
      <c r="A2486" s="3" t="s">
        <v>6964</v>
      </c>
      <c r="B2486" s="4" t="s">
        <v>7326</v>
      </c>
      <c r="C2486" s="4" t="s">
        <v>14</v>
      </c>
      <c r="D2486" s="4" t="s">
        <v>15</v>
      </c>
      <c r="E2486" s="5" t="str">
        <f>"9060183"</f>
        <v>9060183</v>
      </c>
      <c r="F2486" s="3" t="s">
        <v>7906</v>
      </c>
      <c r="G2486" s="5">
        <v>2693023113</v>
      </c>
      <c r="H2486" s="4" t="s">
        <v>7907</v>
      </c>
      <c r="I2486" s="4" t="s">
        <v>7377</v>
      </c>
      <c r="J2486" s="4" t="s">
        <v>7908</v>
      </c>
      <c r="K2486" s="4" t="s">
        <v>7909</v>
      </c>
      <c r="L2486" s="5">
        <v>25200</v>
      </c>
    </row>
    <row r="2487" spans="1:12" x14ac:dyDescent="0.25">
      <c r="A2487" s="3" t="s">
        <v>6964</v>
      </c>
      <c r="B2487" s="4" t="s">
        <v>7326</v>
      </c>
      <c r="C2487" s="4" t="s">
        <v>14</v>
      </c>
      <c r="D2487" s="4" t="s">
        <v>15</v>
      </c>
      <c r="E2487" s="5" t="str">
        <f>"9060252"</f>
        <v>9060252</v>
      </c>
      <c r="F2487" s="3" t="s">
        <v>7910</v>
      </c>
      <c r="G2487" s="5">
        <v>2610459171</v>
      </c>
      <c r="H2487" s="4" t="s">
        <v>7911</v>
      </c>
      <c r="I2487" s="4" t="s">
        <v>7329</v>
      </c>
      <c r="J2487" s="4" t="s">
        <v>7912</v>
      </c>
      <c r="K2487" s="4" t="s">
        <v>7913</v>
      </c>
      <c r="L2487" s="5">
        <v>26443</v>
      </c>
    </row>
    <row r="2488" spans="1:12" x14ac:dyDescent="0.25">
      <c r="A2488" s="3" t="s">
        <v>6964</v>
      </c>
      <c r="B2488" s="4" t="s">
        <v>7326</v>
      </c>
      <c r="C2488" s="4" t="s">
        <v>14</v>
      </c>
      <c r="D2488" s="4" t="s">
        <v>15</v>
      </c>
      <c r="E2488" s="5" t="str">
        <f>"9060208"</f>
        <v>9060208</v>
      </c>
      <c r="F2488" s="3" t="s">
        <v>7914</v>
      </c>
      <c r="G2488" s="5">
        <v>2610520184</v>
      </c>
      <c r="H2488" s="4" t="s">
        <v>7915</v>
      </c>
      <c r="I2488" s="4" t="s">
        <v>7329</v>
      </c>
      <c r="J2488" s="4" t="s">
        <v>7410</v>
      </c>
      <c r="K2488" s="4" t="s">
        <v>7585</v>
      </c>
      <c r="L2488" s="5">
        <v>26333</v>
      </c>
    </row>
    <row r="2489" spans="1:12" x14ac:dyDescent="0.25">
      <c r="A2489" s="3" t="s">
        <v>6964</v>
      </c>
      <c r="B2489" s="4" t="s">
        <v>7326</v>
      </c>
      <c r="C2489" s="4" t="s">
        <v>14</v>
      </c>
      <c r="D2489" s="4" t="s">
        <v>15</v>
      </c>
      <c r="E2489" s="5" t="str">
        <f>"9060473"</f>
        <v>9060473</v>
      </c>
      <c r="F2489" s="3" t="s">
        <v>7916</v>
      </c>
      <c r="G2489" s="5">
        <v>2610429056</v>
      </c>
      <c r="H2489" s="4" t="s">
        <v>7917</v>
      </c>
      <c r="I2489" s="4" t="s">
        <v>7329</v>
      </c>
      <c r="J2489" s="4" t="s">
        <v>7330</v>
      </c>
      <c r="K2489" s="4" t="s">
        <v>7918</v>
      </c>
      <c r="L2489" s="5">
        <v>26442</v>
      </c>
    </row>
    <row r="2490" spans="1:12" x14ac:dyDescent="0.25">
      <c r="A2490" s="3" t="s">
        <v>6964</v>
      </c>
      <c r="B2490" s="4" t="s">
        <v>7326</v>
      </c>
      <c r="C2490" s="4" t="s">
        <v>14</v>
      </c>
      <c r="D2490" s="4" t="s">
        <v>15</v>
      </c>
      <c r="E2490" s="5" t="str">
        <f>"9520618"</f>
        <v>9520618</v>
      </c>
      <c r="F2490" s="3" t="s">
        <v>7919</v>
      </c>
      <c r="G2490" s="5">
        <v>2610526541</v>
      </c>
      <c r="H2490" s="4" t="s">
        <v>7920</v>
      </c>
      <c r="I2490" s="4" t="s">
        <v>7329</v>
      </c>
      <c r="J2490" s="4" t="s">
        <v>7921</v>
      </c>
      <c r="K2490" s="4" t="s">
        <v>7922</v>
      </c>
      <c r="L2490" s="5">
        <v>26333</v>
      </c>
    </row>
    <row r="2491" spans="1:12" x14ac:dyDescent="0.25">
      <c r="A2491" s="3" t="s">
        <v>6964</v>
      </c>
      <c r="B2491" s="4" t="s">
        <v>7326</v>
      </c>
      <c r="C2491" s="4" t="s">
        <v>25</v>
      </c>
      <c r="D2491" s="4" t="s">
        <v>26</v>
      </c>
      <c r="E2491" s="5" t="str">
        <f>"9060619"</f>
        <v>9060619</v>
      </c>
      <c r="F2491" s="3" t="s">
        <v>7923</v>
      </c>
      <c r="G2491" s="5">
        <v>2693023651</v>
      </c>
      <c r="H2491" s="4" t="s">
        <v>7924</v>
      </c>
      <c r="I2491" s="4" t="s">
        <v>7377</v>
      </c>
      <c r="J2491" s="4" t="s">
        <v>7925</v>
      </c>
      <c r="K2491" s="4" t="s">
        <v>7926</v>
      </c>
      <c r="L2491" s="5">
        <v>25200</v>
      </c>
    </row>
    <row r="2492" spans="1:12" x14ac:dyDescent="0.25">
      <c r="A2492" s="3" t="s">
        <v>6964</v>
      </c>
      <c r="B2492" s="4" t="s">
        <v>7326</v>
      </c>
      <c r="C2492" s="4" t="s">
        <v>14</v>
      </c>
      <c r="D2492" s="4" t="s">
        <v>15</v>
      </c>
      <c r="E2492" s="5" t="str">
        <f>"9060093"</f>
        <v>9060093</v>
      </c>
      <c r="F2492" s="3" t="s">
        <v>7927</v>
      </c>
      <c r="G2492" s="5">
        <v>2692360203</v>
      </c>
      <c r="H2492" s="4" t="s">
        <v>7928</v>
      </c>
      <c r="I2492" s="4" t="s">
        <v>7456</v>
      </c>
      <c r="J2492" s="4" t="s">
        <v>7929</v>
      </c>
      <c r="K2492" s="4" t="s">
        <v>7929</v>
      </c>
      <c r="L2492" s="5">
        <v>25007</v>
      </c>
    </row>
    <row r="2493" spans="1:12" x14ac:dyDescent="0.25">
      <c r="A2493" s="3" t="s">
        <v>6964</v>
      </c>
      <c r="B2493" s="4" t="s">
        <v>7326</v>
      </c>
      <c r="C2493" s="4" t="s">
        <v>14</v>
      </c>
      <c r="D2493" s="4" t="s">
        <v>15</v>
      </c>
      <c r="E2493" s="5" t="str">
        <f>"9060275"</f>
        <v>9060275</v>
      </c>
      <c r="F2493" s="3" t="s">
        <v>7930</v>
      </c>
      <c r="G2493" s="5">
        <v>2610590171</v>
      </c>
      <c r="H2493" s="4" t="s">
        <v>7931</v>
      </c>
      <c r="I2493" s="4" t="s">
        <v>7329</v>
      </c>
      <c r="J2493" s="4" t="s">
        <v>4660</v>
      </c>
      <c r="K2493" s="4" t="s">
        <v>7932</v>
      </c>
      <c r="L2493" s="5">
        <v>26500</v>
      </c>
    </row>
    <row r="2494" spans="1:12" x14ac:dyDescent="0.25">
      <c r="A2494" s="3" t="s">
        <v>6964</v>
      </c>
      <c r="B2494" s="4" t="s">
        <v>7326</v>
      </c>
      <c r="C2494" s="4" t="s">
        <v>14</v>
      </c>
      <c r="D2494" s="4" t="s">
        <v>15</v>
      </c>
      <c r="E2494" s="5" t="str">
        <f>"9060406"</f>
        <v>9060406</v>
      </c>
      <c r="F2494" s="3" t="s">
        <v>7933</v>
      </c>
      <c r="G2494" s="5">
        <v>2694051250</v>
      </c>
      <c r="H2494" s="4" t="s">
        <v>7934</v>
      </c>
      <c r="I2494" s="4" t="s">
        <v>7520</v>
      </c>
      <c r="J2494" s="4" t="s">
        <v>7935</v>
      </c>
      <c r="K2494" s="4" t="s">
        <v>7935</v>
      </c>
      <c r="L2494" s="5">
        <v>25015</v>
      </c>
    </row>
    <row r="2495" spans="1:12" x14ac:dyDescent="0.25">
      <c r="A2495" s="3" t="s">
        <v>6964</v>
      </c>
      <c r="B2495" s="4" t="s">
        <v>7326</v>
      </c>
      <c r="C2495" s="4" t="s">
        <v>25</v>
      </c>
      <c r="D2495" s="4" t="s">
        <v>26</v>
      </c>
      <c r="E2495" s="5" t="str">
        <f>"9061001"</f>
        <v>9061001</v>
      </c>
      <c r="F2495" s="3" t="s">
        <v>7936</v>
      </c>
      <c r="G2495" s="5">
        <v>2693025296</v>
      </c>
      <c r="H2495" s="4" t="s">
        <v>7937</v>
      </c>
      <c r="I2495" s="4" t="s">
        <v>7377</v>
      </c>
      <c r="J2495" s="4" t="s">
        <v>7378</v>
      </c>
      <c r="K2495" s="4" t="s">
        <v>7938</v>
      </c>
      <c r="L2495" s="5">
        <v>25200</v>
      </c>
    </row>
    <row r="2496" spans="1:12" x14ac:dyDescent="0.25">
      <c r="A2496" s="3" t="s">
        <v>6964</v>
      </c>
      <c r="B2496" s="4" t="s">
        <v>7939</v>
      </c>
      <c r="C2496" s="4" t="s">
        <v>25</v>
      </c>
      <c r="D2496" s="4" t="s">
        <v>26</v>
      </c>
      <c r="E2496" s="5" t="str">
        <f>"9150331"</f>
        <v>9150331</v>
      </c>
      <c r="F2496" s="3" t="s">
        <v>7940</v>
      </c>
      <c r="G2496" s="5">
        <v>2622028257</v>
      </c>
      <c r="H2496" s="4" t="s">
        <v>7941</v>
      </c>
      <c r="I2496" s="4" t="s">
        <v>7942</v>
      </c>
      <c r="J2496" s="4" t="s">
        <v>7943</v>
      </c>
      <c r="K2496" s="4" t="s">
        <v>7944</v>
      </c>
      <c r="L2496" s="5">
        <v>27200</v>
      </c>
    </row>
    <row r="2497" spans="1:12" x14ac:dyDescent="0.25">
      <c r="A2497" s="3" t="s">
        <v>6964</v>
      </c>
      <c r="B2497" s="4" t="s">
        <v>7939</v>
      </c>
      <c r="C2497" s="4" t="s">
        <v>25</v>
      </c>
      <c r="D2497" s="4" t="s">
        <v>26</v>
      </c>
      <c r="E2497" s="5" t="str">
        <f>"9150323"</f>
        <v>9150323</v>
      </c>
      <c r="F2497" s="3" t="s">
        <v>7945</v>
      </c>
      <c r="G2497" s="5">
        <v>2622027257</v>
      </c>
      <c r="H2497" s="4" t="s">
        <v>7946</v>
      </c>
      <c r="I2497" s="4" t="s">
        <v>7942</v>
      </c>
      <c r="J2497" s="4" t="s">
        <v>7943</v>
      </c>
      <c r="K2497" s="4" t="s">
        <v>7947</v>
      </c>
      <c r="L2497" s="5">
        <v>27200</v>
      </c>
    </row>
    <row r="2498" spans="1:12" x14ac:dyDescent="0.25">
      <c r="A2498" s="3" t="s">
        <v>6964</v>
      </c>
      <c r="B2498" s="4" t="s">
        <v>7939</v>
      </c>
      <c r="C2498" s="4" t="s">
        <v>25</v>
      </c>
      <c r="D2498" s="4" t="s">
        <v>26</v>
      </c>
      <c r="E2498" s="5" t="str">
        <f>"9150462"</f>
        <v>9150462</v>
      </c>
      <c r="F2498" s="3" t="s">
        <v>7948</v>
      </c>
      <c r="G2498" s="5">
        <v>2622022728</v>
      </c>
      <c r="H2498" s="4" t="s">
        <v>7949</v>
      </c>
      <c r="I2498" s="4" t="s">
        <v>7942</v>
      </c>
      <c r="J2498" s="4" t="s">
        <v>7943</v>
      </c>
      <c r="K2498" s="4" t="s">
        <v>7950</v>
      </c>
      <c r="L2498" s="5">
        <v>27200</v>
      </c>
    </row>
    <row r="2499" spans="1:12" x14ac:dyDescent="0.25">
      <c r="A2499" s="3" t="s">
        <v>6964</v>
      </c>
      <c r="B2499" s="4" t="s">
        <v>7939</v>
      </c>
      <c r="C2499" s="4" t="s">
        <v>25</v>
      </c>
      <c r="D2499" s="4" t="s">
        <v>26</v>
      </c>
      <c r="E2499" s="5" t="str">
        <f>"9150002"</f>
        <v>9150002</v>
      </c>
      <c r="F2499" s="3" t="s">
        <v>7951</v>
      </c>
      <c r="G2499" s="5">
        <v>2622027511</v>
      </c>
      <c r="H2499" s="4" t="s">
        <v>7952</v>
      </c>
      <c r="I2499" s="4" t="s">
        <v>7942</v>
      </c>
      <c r="J2499" s="4" t="s">
        <v>7943</v>
      </c>
      <c r="K2499" s="4" t="s">
        <v>7953</v>
      </c>
      <c r="L2499" s="5">
        <v>27200</v>
      </c>
    </row>
    <row r="2500" spans="1:12" x14ac:dyDescent="0.25">
      <c r="A2500" s="3" t="s">
        <v>6964</v>
      </c>
      <c r="B2500" s="4" t="s">
        <v>7939</v>
      </c>
      <c r="C2500" s="4" t="s">
        <v>25</v>
      </c>
      <c r="D2500" s="4" t="s">
        <v>26</v>
      </c>
      <c r="E2500" s="5" t="str">
        <f>"9150322"</f>
        <v>9150322</v>
      </c>
      <c r="F2500" s="3" t="s">
        <v>7954</v>
      </c>
      <c r="G2500" s="5">
        <v>2621034006</v>
      </c>
      <c r="H2500" s="4" t="s">
        <v>7955</v>
      </c>
      <c r="I2500" s="4" t="s">
        <v>7956</v>
      </c>
      <c r="J2500" s="4" t="s">
        <v>273</v>
      </c>
      <c r="K2500" s="4" t="s">
        <v>7947</v>
      </c>
      <c r="L2500" s="5">
        <v>27131</v>
      </c>
    </row>
    <row r="2501" spans="1:12" x14ac:dyDescent="0.25">
      <c r="A2501" s="3" t="s">
        <v>6964</v>
      </c>
      <c r="B2501" s="4" t="s">
        <v>7939</v>
      </c>
      <c r="C2501" s="4" t="s">
        <v>25</v>
      </c>
      <c r="D2501" s="4" t="s">
        <v>26</v>
      </c>
      <c r="E2501" s="5" t="str">
        <f>"9150466"</f>
        <v>9150466</v>
      </c>
      <c r="F2501" s="3" t="s">
        <v>7957</v>
      </c>
      <c r="G2501" s="5">
        <v>2622180048</v>
      </c>
      <c r="H2501" s="4" t="s">
        <v>7958</v>
      </c>
      <c r="I2501" s="4" t="s">
        <v>7942</v>
      </c>
      <c r="J2501" s="4" t="s">
        <v>7943</v>
      </c>
      <c r="K2501" s="4" t="s">
        <v>7959</v>
      </c>
      <c r="L2501" s="5">
        <v>27200</v>
      </c>
    </row>
    <row r="2502" spans="1:12" x14ac:dyDescent="0.25">
      <c r="A2502" s="3" t="s">
        <v>6964</v>
      </c>
      <c r="B2502" s="4" t="s">
        <v>7939</v>
      </c>
      <c r="C2502" s="4" t="s">
        <v>25</v>
      </c>
      <c r="D2502" s="4" t="s">
        <v>26</v>
      </c>
      <c r="E2502" s="5" t="str">
        <f>"9150458"</f>
        <v>9150458</v>
      </c>
      <c r="F2502" s="3" t="s">
        <v>7960</v>
      </c>
      <c r="G2502" s="5">
        <v>2621030420</v>
      </c>
      <c r="H2502" s="4" t="s">
        <v>7961</v>
      </c>
      <c r="I2502" s="4" t="s">
        <v>7956</v>
      </c>
      <c r="J2502" s="4" t="s">
        <v>7956</v>
      </c>
      <c r="K2502" s="4" t="s">
        <v>7962</v>
      </c>
      <c r="L2502" s="5">
        <v>27100</v>
      </c>
    </row>
    <row r="2503" spans="1:12" x14ac:dyDescent="0.25">
      <c r="A2503" s="3" t="s">
        <v>6964</v>
      </c>
      <c r="B2503" s="4" t="s">
        <v>7939</v>
      </c>
      <c r="C2503" s="4" t="s">
        <v>25</v>
      </c>
      <c r="D2503" s="4" t="s">
        <v>26</v>
      </c>
      <c r="E2503" s="5" t="str">
        <f>"9150441"</f>
        <v>9150441</v>
      </c>
      <c r="F2503" s="3" t="s">
        <v>7963</v>
      </c>
      <c r="G2503" s="5">
        <v>2621035478</v>
      </c>
      <c r="H2503" s="4" t="s">
        <v>7964</v>
      </c>
      <c r="I2503" s="4" t="s">
        <v>7956</v>
      </c>
      <c r="J2503" s="4" t="s">
        <v>7956</v>
      </c>
      <c r="K2503" s="4" t="s">
        <v>7965</v>
      </c>
      <c r="L2503" s="5">
        <v>27131</v>
      </c>
    </row>
    <row r="2504" spans="1:12" x14ac:dyDescent="0.25">
      <c r="A2504" s="3" t="s">
        <v>6964</v>
      </c>
      <c r="B2504" s="4" t="s">
        <v>7939</v>
      </c>
      <c r="C2504" s="4" t="s">
        <v>25</v>
      </c>
      <c r="D2504" s="4" t="s">
        <v>26</v>
      </c>
      <c r="E2504" s="5" t="str">
        <f>"9150469"</f>
        <v>9150469</v>
      </c>
      <c r="F2504" s="3" t="s">
        <v>7966</v>
      </c>
      <c r="G2504" s="5">
        <v>2621021965</v>
      </c>
      <c r="H2504" s="4" t="s">
        <v>7967</v>
      </c>
      <c r="I2504" s="4" t="s">
        <v>7956</v>
      </c>
      <c r="J2504" s="4" t="s">
        <v>273</v>
      </c>
      <c r="K2504" s="4" t="s">
        <v>7968</v>
      </c>
      <c r="L2504" s="5">
        <v>27100</v>
      </c>
    </row>
    <row r="2505" spans="1:12" x14ac:dyDescent="0.25">
      <c r="A2505" s="3" t="s">
        <v>6964</v>
      </c>
      <c r="B2505" s="4" t="s">
        <v>7939</v>
      </c>
      <c r="C2505" s="4" t="s">
        <v>25</v>
      </c>
      <c r="D2505" s="4" t="s">
        <v>26</v>
      </c>
      <c r="E2505" s="5" t="str">
        <f>"9150326"</f>
        <v>9150326</v>
      </c>
      <c r="F2505" s="3" t="s">
        <v>7969</v>
      </c>
      <c r="G2505" s="5">
        <v>2621031681</v>
      </c>
      <c r="H2505" s="4" t="s">
        <v>7970</v>
      </c>
      <c r="I2505" s="4" t="s">
        <v>7956</v>
      </c>
      <c r="J2505" s="4" t="s">
        <v>273</v>
      </c>
      <c r="K2505" s="4" t="s">
        <v>7971</v>
      </c>
      <c r="L2505" s="5">
        <v>27100</v>
      </c>
    </row>
    <row r="2506" spans="1:12" x14ac:dyDescent="0.25">
      <c r="A2506" s="3" t="s">
        <v>6964</v>
      </c>
      <c r="B2506" s="4" t="s">
        <v>7939</v>
      </c>
      <c r="C2506" s="4" t="s">
        <v>25</v>
      </c>
      <c r="D2506" s="4" t="s">
        <v>26</v>
      </c>
      <c r="E2506" s="5" t="str">
        <f>"9150260"</f>
        <v>9150260</v>
      </c>
      <c r="F2506" s="3" t="s">
        <v>7972</v>
      </c>
      <c r="G2506" s="5">
        <v>2621020352</v>
      </c>
      <c r="H2506" s="4" t="s">
        <v>7973</v>
      </c>
      <c r="I2506" s="4" t="s">
        <v>7956</v>
      </c>
      <c r="J2506" s="4" t="s">
        <v>273</v>
      </c>
      <c r="K2506" s="4" t="s">
        <v>7974</v>
      </c>
      <c r="L2506" s="5">
        <v>27100</v>
      </c>
    </row>
    <row r="2507" spans="1:12" x14ac:dyDescent="0.25">
      <c r="A2507" s="3" t="s">
        <v>6964</v>
      </c>
      <c r="B2507" s="4" t="s">
        <v>7939</v>
      </c>
      <c r="C2507" s="4" t="s">
        <v>14</v>
      </c>
      <c r="D2507" s="4" t="s">
        <v>15</v>
      </c>
      <c r="E2507" s="5" t="str">
        <f>"9150264"</f>
        <v>9150264</v>
      </c>
      <c r="F2507" s="3" t="s">
        <v>7975</v>
      </c>
      <c r="G2507" s="5">
        <v>2621033036</v>
      </c>
      <c r="H2507" s="4" t="s">
        <v>7976</v>
      </c>
      <c r="I2507" s="4" t="s">
        <v>7956</v>
      </c>
      <c r="J2507" s="4" t="s">
        <v>273</v>
      </c>
      <c r="K2507" s="4" t="s">
        <v>7977</v>
      </c>
      <c r="L2507" s="5">
        <v>27131</v>
      </c>
    </row>
    <row r="2508" spans="1:12" x14ac:dyDescent="0.25">
      <c r="A2508" s="3" t="s">
        <v>6964</v>
      </c>
      <c r="B2508" s="4" t="s">
        <v>7939</v>
      </c>
      <c r="C2508" s="4" t="s">
        <v>25</v>
      </c>
      <c r="D2508" s="4" t="s">
        <v>26</v>
      </c>
      <c r="E2508" s="5" t="str">
        <f>"9150058"</f>
        <v>9150058</v>
      </c>
      <c r="F2508" s="3" t="s">
        <v>7978</v>
      </c>
      <c r="G2508" s="5">
        <v>2621033933</v>
      </c>
      <c r="H2508" s="4" t="s">
        <v>7979</v>
      </c>
      <c r="I2508" s="4" t="s">
        <v>7956</v>
      </c>
      <c r="J2508" s="4" t="s">
        <v>273</v>
      </c>
      <c r="K2508" s="4" t="s">
        <v>7980</v>
      </c>
      <c r="L2508" s="5">
        <v>27100</v>
      </c>
    </row>
    <row r="2509" spans="1:12" x14ac:dyDescent="0.25">
      <c r="A2509" s="3" t="s">
        <v>6964</v>
      </c>
      <c r="B2509" s="4" t="s">
        <v>7939</v>
      </c>
      <c r="C2509" s="4" t="s">
        <v>25</v>
      </c>
      <c r="D2509" s="4" t="s">
        <v>26</v>
      </c>
      <c r="E2509" s="5" t="str">
        <f>"9150012"</f>
        <v>9150012</v>
      </c>
      <c r="F2509" s="3" t="s">
        <v>7981</v>
      </c>
      <c r="G2509" s="5">
        <v>2623032130</v>
      </c>
      <c r="H2509" s="4" t="s">
        <v>7982</v>
      </c>
      <c r="I2509" s="4" t="s">
        <v>7983</v>
      </c>
      <c r="J2509" s="4" t="s">
        <v>7984</v>
      </c>
      <c r="K2509" s="4" t="s">
        <v>7985</v>
      </c>
      <c r="L2509" s="5">
        <v>27300</v>
      </c>
    </row>
    <row r="2510" spans="1:12" x14ac:dyDescent="0.25">
      <c r="A2510" s="3" t="s">
        <v>6964</v>
      </c>
      <c r="B2510" s="4" t="s">
        <v>7939</v>
      </c>
      <c r="C2510" s="4" t="s">
        <v>25</v>
      </c>
      <c r="D2510" s="4" t="s">
        <v>26</v>
      </c>
      <c r="E2510" s="5" t="str">
        <f>"9150440"</f>
        <v>9150440</v>
      </c>
      <c r="F2510" s="3" t="s">
        <v>7986</v>
      </c>
      <c r="G2510" s="5">
        <v>2621032612</v>
      </c>
      <c r="H2510" s="4" t="s">
        <v>7987</v>
      </c>
      <c r="I2510" s="4" t="s">
        <v>7956</v>
      </c>
      <c r="J2510" s="4" t="s">
        <v>273</v>
      </c>
      <c r="K2510" s="4" t="s">
        <v>7988</v>
      </c>
      <c r="L2510" s="5">
        <v>27131</v>
      </c>
    </row>
    <row r="2511" spans="1:12" x14ac:dyDescent="0.25">
      <c r="A2511" s="3" t="s">
        <v>6964</v>
      </c>
      <c r="B2511" s="4" t="s">
        <v>7939</v>
      </c>
      <c r="C2511" s="4" t="s">
        <v>25</v>
      </c>
      <c r="D2511" s="4" t="s">
        <v>26</v>
      </c>
      <c r="E2511" s="5" t="str">
        <f>"9150329"</f>
        <v>9150329</v>
      </c>
      <c r="F2511" s="3" t="s">
        <v>7989</v>
      </c>
      <c r="G2511" s="5">
        <v>2621037313</v>
      </c>
      <c r="H2511" s="4" t="s">
        <v>7990</v>
      </c>
      <c r="I2511" s="4" t="s">
        <v>7956</v>
      </c>
      <c r="J2511" s="4" t="s">
        <v>273</v>
      </c>
      <c r="K2511" s="4" t="s">
        <v>7991</v>
      </c>
      <c r="L2511" s="5">
        <v>27131</v>
      </c>
    </row>
    <row r="2512" spans="1:12" x14ac:dyDescent="0.25">
      <c r="A2512" s="3" t="s">
        <v>6964</v>
      </c>
      <c r="B2512" s="4" t="s">
        <v>7939</v>
      </c>
      <c r="C2512" s="4" t="s">
        <v>25</v>
      </c>
      <c r="D2512" s="4" t="s">
        <v>26</v>
      </c>
      <c r="E2512" s="5" t="str">
        <f>"9150330"</f>
        <v>9150330</v>
      </c>
      <c r="F2512" s="3" t="s">
        <v>7992</v>
      </c>
      <c r="G2512" s="5">
        <v>2621027834</v>
      </c>
      <c r="H2512" s="4" t="s">
        <v>7993</v>
      </c>
      <c r="I2512" s="4" t="s">
        <v>7956</v>
      </c>
      <c r="J2512" s="4" t="s">
        <v>273</v>
      </c>
      <c r="K2512" s="4" t="s">
        <v>7994</v>
      </c>
      <c r="L2512" s="5">
        <v>27100</v>
      </c>
    </row>
    <row r="2513" spans="1:12" x14ac:dyDescent="0.25">
      <c r="A2513" s="3" t="s">
        <v>6964</v>
      </c>
      <c r="B2513" s="4" t="s">
        <v>7939</v>
      </c>
      <c r="C2513" s="4" t="s">
        <v>25</v>
      </c>
      <c r="D2513" s="4" t="s">
        <v>26</v>
      </c>
      <c r="E2513" s="5" t="str">
        <f>"9150327"</f>
        <v>9150327</v>
      </c>
      <c r="F2513" s="3" t="s">
        <v>7995</v>
      </c>
      <c r="G2513" s="5">
        <v>2624023140</v>
      </c>
      <c r="H2513" s="4" t="s">
        <v>7996</v>
      </c>
      <c r="I2513" s="4" t="s">
        <v>7997</v>
      </c>
      <c r="J2513" s="4" t="s">
        <v>7998</v>
      </c>
      <c r="K2513" s="4" t="s">
        <v>7999</v>
      </c>
      <c r="L2513" s="5">
        <v>27065</v>
      </c>
    </row>
    <row r="2514" spans="1:12" x14ac:dyDescent="0.25">
      <c r="A2514" s="3" t="s">
        <v>6964</v>
      </c>
      <c r="B2514" s="4" t="s">
        <v>7939</v>
      </c>
      <c r="C2514" s="4" t="s">
        <v>14</v>
      </c>
      <c r="D2514" s="4" t="s">
        <v>15</v>
      </c>
      <c r="E2514" s="5" t="str">
        <f>"9150057"</f>
        <v>9150057</v>
      </c>
      <c r="F2514" s="3" t="s">
        <v>8000</v>
      </c>
      <c r="G2514" s="5">
        <v>2621033577</v>
      </c>
      <c r="H2514" s="4" t="s">
        <v>8001</v>
      </c>
      <c r="I2514" s="4" t="s">
        <v>7956</v>
      </c>
      <c r="J2514" s="4" t="s">
        <v>8002</v>
      </c>
      <c r="K2514" s="4" t="s">
        <v>8003</v>
      </c>
      <c r="L2514" s="5">
        <v>27131</v>
      </c>
    </row>
    <row r="2515" spans="1:12" x14ac:dyDescent="0.25">
      <c r="A2515" s="3" t="s">
        <v>6964</v>
      </c>
      <c r="B2515" s="4" t="s">
        <v>7939</v>
      </c>
      <c r="C2515" s="4" t="s">
        <v>25</v>
      </c>
      <c r="D2515" s="4" t="s">
        <v>26</v>
      </c>
      <c r="E2515" s="5" t="str">
        <f>"9150343"</f>
        <v>9150343</v>
      </c>
      <c r="F2515" s="3" t="s">
        <v>8004</v>
      </c>
      <c r="G2515" s="5">
        <v>2622024818</v>
      </c>
      <c r="H2515" s="4" t="s">
        <v>8005</v>
      </c>
      <c r="I2515" s="4" t="s">
        <v>7942</v>
      </c>
      <c r="J2515" s="4" t="s">
        <v>7943</v>
      </c>
      <c r="K2515" s="4" t="s">
        <v>8006</v>
      </c>
      <c r="L2515" s="5">
        <v>27200</v>
      </c>
    </row>
    <row r="2516" spans="1:12" x14ac:dyDescent="0.25">
      <c r="A2516" s="3" t="s">
        <v>6964</v>
      </c>
      <c r="B2516" s="4" t="s">
        <v>7939</v>
      </c>
      <c r="C2516" s="4" t="s">
        <v>14</v>
      </c>
      <c r="D2516" s="4" t="s">
        <v>15</v>
      </c>
      <c r="E2516" s="5" t="str">
        <f>"9150014"</f>
        <v>9150014</v>
      </c>
      <c r="F2516" s="3" t="s">
        <v>8007</v>
      </c>
      <c r="G2516" s="5">
        <v>2623032200</v>
      </c>
      <c r="H2516" s="4" t="s">
        <v>8008</v>
      </c>
      <c r="I2516" s="4" t="s">
        <v>7983</v>
      </c>
      <c r="J2516" s="4" t="s">
        <v>8009</v>
      </c>
      <c r="K2516" s="4" t="s">
        <v>8010</v>
      </c>
      <c r="L2516" s="5">
        <v>27300</v>
      </c>
    </row>
    <row r="2517" spans="1:12" x14ac:dyDescent="0.25">
      <c r="A2517" s="3" t="s">
        <v>6964</v>
      </c>
      <c r="B2517" s="4" t="s">
        <v>7939</v>
      </c>
      <c r="C2517" s="4" t="s">
        <v>14</v>
      </c>
      <c r="D2517" s="4" t="s">
        <v>15</v>
      </c>
      <c r="E2517" s="5" t="str">
        <f>"9150060"</f>
        <v>9150060</v>
      </c>
      <c r="F2517" s="3" t="s">
        <v>8011</v>
      </c>
      <c r="G2517" s="5">
        <v>2621022711</v>
      </c>
      <c r="H2517" s="4" t="s">
        <v>8012</v>
      </c>
      <c r="I2517" s="4" t="s">
        <v>7956</v>
      </c>
      <c r="J2517" s="4" t="s">
        <v>273</v>
      </c>
      <c r="K2517" s="4" t="s">
        <v>8013</v>
      </c>
      <c r="L2517" s="5">
        <v>27131</v>
      </c>
    </row>
    <row r="2518" spans="1:12" x14ac:dyDescent="0.25">
      <c r="A2518" s="3" t="s">
        <v>6964</v>
      </c>
      <c r="B2518" s="4" t="s">
        <v>7939</v>
      </c>
      <c r="C2518" s="4" t="s">
        <v>14</v>
      </c>
      <c r="D2518" s="4" t="s">
        <v>15</v>
      </c>
      <c r="E2518" s="5" t="str">
        <f>"9150059"</f>
        <v>9150059</v>
      </c>
      <c r="F2518" s="3" t="s">
        <v>8014</v>
      </c>
      <c r="G2518" s="5">
        <v>2621033480</v>
      </c>
      <c r="H2518" s="4" t="s">
        <v>8015</v>
      </c>
      <c r="I2518" s="4" t="s">
        <v>7956</v>
      </c>
      <c r="J2518" s="4" t="s">
        <v>273</v>
      </c>
      <c r="K2518" s="4" t="s">
        <v>8016</v>
      </c>
      <c r="L2518" s="5">
        <v>27131</v>
      </c>
    </row>
    <row r="2519" spans="1:12" x14ac:dyDescent="0.25">
      <c r="A2519" s="3" t="s">
        <v>6964</v>
      </c>
      <c r="B2519" s="4" t="s">
        <v>7939</v>
      </c>
      <c r="C2519" s="4" t="s">
        <v>14</v>
      </c>
      <c r="D2519" s="4" t="s">
        <v>830</v>
      </c>
      <c r="E2519" s="5" t="str">
        <f>"9150261"</f>
        <v>9150261</v>
      </c>
      <c r="F2519" s="3" t="s">
        <v>8017</v>
      </c>
      <c r="G2519" s="5">
        <v>2621033223</v>
      </c>
      <c r="H2519" s="4" t="s">
        <v>8018</v>
      </c>
      <c r="I2519" s="4" t="s">
        <v>7956</v>
      </c>
      <c r="J2519" s="4" t="s">
        <v>273</v>
      </c>
      <c r="K2519" s="4" t="s">
        <v>8019</v>
      </c>
      <c r="L2519" s="5">
        <v>27131</v>
      </c>
    </row>
    <row r="2520" spans="1:12" x14ac:dyDescent="0.25">
      <c r="A2520" s="3" t="s">
        <v>6964</v>
      </c>
      <c r="B2520" s="4" t="s">
        <v>7939</v>
      </c>
      <c r="C2520" s="4" t="s">
        <v>14</v>
      </c>
      <c r="D2520" s="4" t="s">
        <v>15</v>
      </c>
      <c r="E2520" s="5" t="str">
        <f>"9150265"</f>
        <v>9150265</v>
      </c>
      <c r="F2520" s="3" t="s">
        <v>8020</v>
      </c>
      <c r="G2520" s="5">
        <v>2621022932</v>
      </c>
      <c r="H2520" s="4" t="s">
        <v>8021</v>
      </c>
      <c r="I2520" s="4" t="s">
        <v>7956</v>
      </c>
      <c r="J2520" s="4" t="s">
        <v>273</v>
      </c>
      <c r="K2520" s="4" t="s">
        <v>7965</v>
      </c>
      <c r="L2520" s="5">
        <v>27131</v>
      </c>
    </row>
    <row r="2521" spans="1:12" x14ac:dyDescent="0.25">
      <c r="A2521" s="3" t="s">
        <v>6964</v>
      </c>
      <c r="B2521" s="4" t="s">
        <v>7939</v>
      </c>
      <c r="C2521" s="4" t="s">
        <v>14</v>
      </c>
      <c r="D2521" s="4" t="s">
        <v>15</v>
      </c>
      <c r="E2521" s="5" t="str">
        <f>"9150266"</f>
        <v>9150266</v>
      </c>
      <c r="F2521" s="3" t="s">
        <v>8022</v>
      </c>
      <c r="G2521" s="5">
        <v>2621033243</v>
      </c>
      <c r="H2521" s="4" t="s">
        <v>8023</v>
      </c>
      <c r="I2521" s="4" t="s">
        <v>7956</v>
      </c>
      <c r="J2521" s="4" t="s">
        <v>8024</v>
      </c>
      <c r="K2521" s="4" t="s">
        <v>8025</v>
      </c>
      <c r="L2521" s="5">
        <v>27131</v>
      </c>
    </row>
    <row r="2522" spans="1:12" x14ac:dyDescent="0.25">
      <c r="A2522" s="3" t="s">
        <v>6964</v>
      </c>
      <c r="B2522" s="4" t="s">
        <v>7939</v>
      </c>
      <c r="C2522" s="4" t="s">
        <v>25</v>
      </c>
      <c r="D2522" s="4" t="s">
        <v>26</v>
      </c>
      <c r="E2522" s="5" t="str">
        <f>"9150001"</f>
        <v>9150001</v>
      </c>
      <c r="F2522" s="3" t="s">
        <v>8026</v>
      </c>
      <c r="G2522" s="5">
        <v>2622028236</v>
      </c>
      <c r="H2522" s="4" t="s">
        <v>8027</v>
      </c>
      <c r="I2522" s="4" t="s">
        <v>7942</v>
      </c>
      <c r="J2522" s="4" t="s">
        <v>7943</v>
      </c>
      <c r="K2522" s="4" t="s">
        <v>8028</v>
      </c>
      <c r="L2522" s="5">
        <v>27200</v>
      </c>
    </row>
    <row r="2523" spans="1:12" x14ac:dyDescent="0.25">
      <c r="A2523" s="3" t="s">
        <v>6964</v>
      </c>
      <c r="B2523" s="4" t="s">
        <v>7939</v>
      </c>
      <c r="C2523" s="4" t="s">
        <v>25</v>
      </c>
      <c r="D2523" s="4" t="s">
        <v>26</v>
      </c>
      <c r="E2523" s="5" t="str">
        <f>"9150219"</f>
        <v>9150219</v>
      </c>
      <c r="F2523" s="3" t="s">
        <v>8029</v>
      </c>
      <c r="G2523" s="5">
        <v>2623071054</v>
      </c>
      <c r="H2523" s="4" t="s">
        <v>8030</v>
      </c>
      <c r="I2523" s="4" t="s">
        <v>8031</v>
      </c>
      <c r="J2523" s="4" t="s">
        <v>8032</v>
      </c>
      <c r="K2523" s="4" t="s">
        <v>8033</v>
      </c>
      <c r="L2523" s="5">
        <v>27052</v>
      </c>
    </row>
    <row r="2524" spans="1:12" x14ac:dyDescent="0.25">
      <c r="A2524" s="3" t="s">
        <v>6964</v>
      </c>
      <c r="B2524" s="4" t="s">
        <v>7939</v>
      </c>
      <c r="C2524" s="4" t="s">
        <v>25</v>
      </c>
      <c r="D2524" s="4" t="s">
        <v>26</v>
      </c>
      <c r="E2524" s="5" t="str">
        <f>"9150215"</f>
        <v>9150215</v>
      </c>
      <c r="F2524" s="3" t="s">
        <v>8034</v>
      </c>
      <c r="G2524" s="5">
        <v>2623041301</v>
      </c>
      <c r="H2524" s="4" t="s">
        <v>8035</v>
      </c>
      <c r="I2524" s="4" t="s">
        <v>7983</v>
      </c>
      <c r="J2524" s="4" t="s">
        <v>8036</v>
      </c>
      <c r="K2524" s="4" t="s">
        <v>8037</v>
      </c>
      <c r="L2524" s="5">
        <v>27050</v>
      </c>
    </row>
    <row r="2525" spans="1:12" x14ac:dyDescent="0.25">
      <c r="A2525" s="3" t="s">
        <v>6964</v>
      </c>
      <c r="B2525" s="4" t="s">
        <v>7939</v>
      </c>
      <c r="C2525" s="4" t="s">
        <v>14</v>
      </c>
      <c r="D2525" s="4" t="s">
        <v>15</v>
      </c>
      <c r="E2525" s="5" t="str">
        <f>"9150007"</f>
        <v>9150007</v>
      </c>
      <c r="F2525" s="3" t="s">
        <v>8038</v>
      </c>
      <c r="G2525" s="5">
        <v>2622028068</v>
      </c>
      <c r="H2525" s="4" t="s">
        <v>8039</v>
      </c>
      <c r="I2525" s="4" t="s">
        <v>7942</v>
      </c>
      <c r="J2525" s="4" t="s">
        <v>8040</v>
      </c>
      <c r="K2525" s="4" t="s">
        <v>7944</v>
      </c>
      <c r="L2525" s="5">
        <v>27200</v>
      </c>
    </row>
    <row r="2526" spans="1:12" ht="30" x14ac:dyDescent="0.25">
      <c r="A2526" s="3" t="s">
        <v>6964</v>
      </c>
      <c r="B2526" s="4" t="s">
        <v>7939</v>
      </c>
      <c r="C2526" s="4" t="s">
        <v>14</v>
      </c>
      <c r="D2526" s="4" t="s">
        <v>15</v>
      </c>
      <c r="E2526" s="5" t="str">
        <f>"9150205"</f>
        <v>9150205</v>
      </c>
      <c r="F2526" s="3" t="s">
        <v>8041</v>
      </c>
      <c r="G2526" s="5">
        <v>2623022238</v>
      </c>
      <c r="H2526" s="4" t="s">
        <v>8042</v>
      </c>
      <c r="I2526" s="4" t="s">
        <v>8031</v>
      </c>
      <c r="J2526" s="4" t="s">
        <v>8043</v>
      </c>
      <c r="K2526" s="4" t="s">
        <v>8044</v>
      </c>
      <c r="L2526" s="5">
        <v>27053</v>
      </c>
    </row>
    <row r="2527" spans="1:12" x14ac:dyDescent="0.25">
      <c r="A2527" s="3" t="s">
        <v>6964</v>
      </c>
      <c r="B2527" s="4" t="s">
        <v>7939</v>
      </c>
      <c r="C2527" s="4" t="s">
        <v>14</v>
      </c>
      <c r="D2527" s="4" t="s">
        <v>15</v>
      </c>
      <c r="E2527" s="5" t="str">
        <f>"9150393"</f>
        <v>9150393</v>
      </c>
      <c r="F2527" s="3" t="s">
        <v>8045</v>
      </c>
      <c r="G2527" s="5">
        <v>2623032244</v>
      </c>
      <c r="H2527" s="4" t="s">
        <v>8046</v>
      </c>
      <c r="I2527" s="4" t="s">
        <v>7983</v>
      </c>
      <c r="J2527" s="4" t="s">
        <v>8009</v>
      </c>
      <c r="K2527" s="4" t="s">
        <v>8047</v>
      </c>
      <c r="L2527" s="5">
        <v>27300</v>
      </c>
    </row>
    <row r="2528" spans="1:12" x14ac:dyDescent="0.25">
      <c r="A2528" s="3" t="s">
        <v>6964</v>
      </c>
      <c r="B2528" s="4" t="s">
        <v>7939</v>
      </c>
      <c r="C2528" s="4" t="s">
        <v>25</v>
      </c>
      <c r="D2528" s="4" t="s">
        <v>26</v>
      </c>
      <c r="E2528" s="5" t="str">
        <f>"9150199"</f>
        <v>9150199</v>
      </c>
      <c r="F2528" s="3" t="s">
        <v>8048</v>
      </c>
      <c r="G2528" s="5">
        <v>2623054375</v>
      </c>
      <c r="H2528" s="4" t="s">
        <v>8049</v>
      </c>
      <c r="I2528" s="4" t="s">
        <v>8031</v>
      </c>
      <c r="J2528" s="4" t="s">
        <v>8050</v>
      </c>
      <c r="K2528" s="4" t="s">
        <v>8051</v>
      </c>
      <c r="L2528" s="5">
        <v>27051</v>
      </c>
    </row>
    <row r="2529" spans="1:12" x14ac:dyDescent="0.25">
      <c r="A2529" s="3" t="s">
        <v>6964</v>
      </c>
      <c r="B2529" s="4" t="s">
        <v>7939</v>
      </c>
      <c r="C2529" s="4" t="s">
        <v>14</v>
      </c>
      <c r="D2529" s="4" t="s">
        <v>15</v>
      </c>
      <c r="E2529" s="5" t="str">
        <f>"9150008"</f>
        <v>9150008</v>
      </c>
      <c r="F2529" s="3" t="s">
        <v>8052</v>
      </c>
      <c r="G2529" s="5">
        <v>2622028780</v>
      </c>
      <c r="H2529" s="4" t="s">
        <v>8053</v>
      </c>
      <c r="I2529" s="4" t="s">
        <v>7942</v>
      </c>
      <c r="J2529" s="4" t="s">
        <v>8040</v>
      </c>
      <c r="K2529" s="4" t="s">
        <v>8019</v>
      </c>
      <c r="L2529" s="5">
        <v>27200</v>
      </c>
    </row>
    <row r="2530" spans="1:12" x14ac:dyDescent="0.25">
      <c r="A2530" s="3" t="s">
        <v>6964</v>
      </c>
      <c r="B2530" s="4" t="s">
        <v>7939</v>
      </c>
      <c r="C2530" s="4" t="s">
        <v>25</v>
      </c>
      <c r="D2530" s="4" t="s">
        <v>26</v>
      </c>
      <c r="E2530" s="5" t="str">
        <f>"9150258"</f>
        <v>9150258</v>
      </c>
      <c r="F2530" s="3" t="s">
        <v>8054</v>
      </c>
      <c r="G2530" s="5">
        <v>2623061329</v>
      </c>
      <c r="H2530" s="4" t="s">
        <v>8055</v>
      </c>
      <c r="I2530" s="4" t="s">
        <v>7983</v>
      </c>
      <c r="J2530" s="4" t="s">
        <v>8056</v>
      </c>
      <c r="K2530" s="4" t="s">
        <v>8056</v>
      </c>
      <c r="L2530" s="5">
        <v>27057</v>
      </c>
    </row>
    <row r="2531" spans="1:12" x14ac:dyDescent="0.25">
      <c r="A2531" s="3" t="s">
        <v>6964</v>
      </c>
      <c r="B2531" s="4" t="s">
        <v>7939</v>
      </c>
      <c r="C2531" s="4" t="s">
        <v>25</v>
      </c>
      <c r="D2531" s="4" t="s">
        <v>821</v>
      </c>
      <c r="E2531" s="5" t="str">
        <f>"9150334"</f>
        <v>9150334</v>
      </c>
      <c r="F2531" s="3" t="s">
        <v>8057</v>
      </c>
      <c r="G2531" s="5">
        <v>2623023250</v>
      </c>
      <c r="H2531" s="4" t="s">
        <v>8058</v>
      </c>
      <c r="I2531" s="4" t="s">
        <v>8031</v>
      </c>
      <c r="J2531" s="4" t="s">
        <v>8043</v>
      </c>
      <c r="K2531" s="4" t="s">
        <v>8059</v>
      </c>
      <c r="L2531" s="5">
        <v>27053</v>
      </c>
    </row>
    <row r="2532" spans="1:12" x14ac:dyDescent="0.25">
      <c r="A2532" s="3" t="s">
        <v>6964</v>
      </c>
      <c r="B2532" s="4" t="s">
        <v>7939</v>
      </c>
      <c r="C2532" s="4" t="s">
        <v>25</v>
      </c>
      <c r="D2532" s="4" t="s">
        <v>26</v>
      </c>
      <c r="E2532" s="5" t="str">
        <f>"9150204"</f>
        <v>9150204</v>
      </c>
      <c r="F2532" s="3" t="s">
        <v>8060</v>
      </c>
      <c r="G2532" s="5">
        <v>2623022553</v>
      </c>
      <c r="H2532" s="4" t="s">
        <v>8061</v>
      </c>
      <c r="I2532" s="4" t="s">
        <v>8031</v>
      </c>
      <c r="J2532" s="4" t="s">
        <v>8043</v>
      </c>
      <c r="K2532" s="4" t="s">
        <v>8043</v>
      </c>
      <c r="L2532" s="5">
        <v>27053</v>
      </c>
    </row>
    <row r="2533" spans="1:12" x14ac:dyDescent="0.25">
      <c r="A2533" s="3" t="s">
        <v>6964</v>
      </c>
      <c r="B2533" s="4" t="s">
        <v>7939</v>
      </c>
      <c r="C2533" s="4" t="s">
        <v>14</v>
      </c>
      <c r="D2533" s="4" t="s">
        <v>15</v>
      </c>
      <c r="E2533" s="5" t="str">
        <f>"9150003"</f>
        <v>9150003</v>
      </c>
      <c r="F2533" s="3" t="s">
        <v>8062</v>
      </c>
      <c r="G2533" s="5">
        <v>2622028310</v>
      </c>
      <c r="H2533" s="4" t="s">
        <v>8063</v>
      </c>
      <c r="I2533" s="4" t="s">
        <v>7942</v>
      </c>
      <c r="J2533" s="4" t="s">
        <v>8040</v>
      </c>
      <c r="K2533" s="4" t="s">
        <v>8064</v>
      </c>
      <c r="L2533" s="5">
        <v>27200</v>
      </c>
    </row>
    <row r="2534" spans="1:12" x14ac:dyDescent="0.25">
      <c r="A2534" s="3" t="s">
        <v>6964</v>
      </c>
      <c r="B2534" s="4" t="s">
        <v>7939</v>
      </c>
      <c r="C2534" s="4" t="s">
        <v>14</v>
      </c>
      <c r="D2534" s="4" t="s">
        <v>15</v>
      </c>
      <c r="E2534" s="5" t="str">
        <f>"9150245"</f>
        <v>9150245</v>
      </c>
      <c r="F2534" s="3" t="s">
        <v>8065</v>
      </c>
      <c r="G2534" s="5">
        <v>2623022009</v>
      </c>
      <c r="H2534" s="4" t="s">
        <v>8066</v>
      </c>
      <c r="I2534" s="4" t="s">
        <v>8031</v>
      </c>
      <c r="J2534" s="4" t="s">
        <v>8067</v>
      </c>
      <c r="K2534" s="4" t="s">
        <v>8068</v>
      </c>
      <c r="L2534" s="5">
        <v>27053</v>
      </c>
    </row>
    <row r="2535" spans="1:12" x14ac:dyDescent="0.25">
      <c r="A2535" s="3" t="s">
        <v>6964</v>
      </c>
      <c r="B2535" s="4" t="s">
        <v>7939</v>
      </c>
      <c r="C2535" s="4" t="s">
        <v>14</v>
      </c>
      <c r="D2535" s="4" t="s">
        <v>15</v>
      </c>
      <c r="E2535" s="5" t="str">
        <f>"9150004"</f>
        <v>9150004</v>
      </c>
      <c r="F2535" s="3" t="s">
        <v>8069</v>
      </c>
      <c r="G2535" s="5">
        <v>2622028075</v>
      </c>
      <c r="H2535" s="4" t="s">
        <v>8070</v>
      </c>
      <c r="I2535" s="4" t="s">
        <v>7942</v>
      </c>
      <c r="J2535" s="4" t="s">
        <v>8071</v>
      </c>
      <c r="K2535" s="4" t="s">
        <v>8072</v>
      </c>
      <c r="L2535" s="5">
        <v>27200</v>
      </c>
    </row>
    <row r="2536" spans="1:12" x14ac:dyDescent="0.25">
      <c r="A2536" s="3" t="s">
        <v>6964</v>
      </c>
      <c r="B2536" s="4" t="s">
        <v>7939</v>
      </c>
      <c r="C2536" s="4" t="s">
        <v>14</v>
      </c>
      <c r="D2536" s="4" t="s">
        <v>15</v>
      </c>
      <c r="E2536" s="5" t="str">
        <f>"9150053"</f>
        <v>9150053</v>
      </c>
      <c r="F2536" s="3" t="s">
        <v>8073</v>
      </c>
      <c r="G2536" s="5">
        <v>2622091205</v>
      </c>
      <c r="H2536" s="4" t="s">
        <v>8074</v>
      </c>
      <c r="I2536" s="4" t="s">
        <v>7942</v>
      </c>
      <c r="J2536" s="4" t="s">
        <v>8075</v>
      </c>
      <c r="K2536" s="4" t="s">
        <v>8075</v>
      </c>
      <c r="L2536" s="5">
        <v>27200</v>
      </c>
    </row>
    <row r="2537" spans="1:12" x14ac:dyDescent="0.25">
      <c r="A2537" s="3" t="s">
        <v>6964</v>
      </c>
      <c r="B2537" s="4" t="s">
        <v>7939</v>
      </c>
      <c r="C2537" s="4" t="s">
        <v>14</v>
      </c>
      <c r="D2537" s="4" t="s">
        <v>15</v>
      </c>
      <c r="E2537" s="5" t="str">
        <f>"9150051"</f>
        <v>9150051</v>
      </c>
      <c r="F2537" s="3" t="s">
        <v>8076</v>
      </c>
      <c r="G2537" s="5">
        <v>2622031279</v>
      </c>
      <c r="H2537" s="4" t="s">
        <v>8077</v>
      </c>
      <c r="I2537" s="4" t="s">
        <v>7942</v>
      </c>
      <c r="J2537" s="4" t="s">
        <v>8078</v>
      </c>
      <c r="K2537" s="4" t="s">
        <v>8079</v>
      </c>
      <c r="L2537" s="5">
        <v>27069</v>
      </c>
    </row>
    <row r="2538" spans="1:12" x14ac:dyDescent="0.25">
      <c r="A2538" s="3" t="s">
        <v>6964</v>
      </c>
      <c r="B2538" s="4" t="s">
        <v>7939</v>
      </c>
      <c r="C2538" s="4" t="s">
        <v>14</v>
      </c>
      <c r="D2538" s="4" t="s">
        <v>15</v>
      </c>
      <c r="E2538" s="5" t="str">
        <f>"9150013"</f>
        <v>9150013</v>
      </c>
      <c r="F2538" s="3" t="s">
        <v>8080</v>
      </c>
      <c r="G2538" s="5">
        <v>2623032232</v>
      </c>
      <c r="H2538" s="4" t="s">
        <v>8081</v>
      </c>
      <c r="I2538" s="4" t="s">
        <v>7983</v>
      </c>
      <c r="J2538" s="4" t="s">
        <v>8009</v>
      </c>
      <c r="K2538" s="4" t="s">
        <v>8082</v>
      </c>
      <c r="L2538" s="5">
        <v>27300</v>
      </c>
    </row>
    <row r="2539" spans="1:12" x14ac:dyDescent="0.25">
      <c r="A2539" s="3" t="s">
        <v>6964</v>
      </c>
      <c r="B2539" s="4" t="s">
        <v>7939</v>
      </c>
      <c r="C2539" s="4" t="s">
        <v>14</v>
      </c>
      <c r="D2539" s="4" t="s">
        <v>15</v>
      </c>
      <c r="E2539" s="5" t="str">
        <f>"9150320"</f>
        <v>9150320</v>
      </c>
      <c r="F2539" s="3" t="s">
        <v>8083</v>
      </c>
      <c r="G2539" s="5">
        <v>2623180075</v>
      </c>
      <c r="H2539" s="4" t="s">
        <v>8084</v>
      </c>
      <c r="I2539" s="4" t="s">
        <v>7983</v>
      </c>
      <c r="J2539" s="4" t="s">
        <v>8085</v>
      </c>
      <c r="K2539" s="4" t="s">
        <v>8086</v>
      </c>
      <c r="L2539" s="5">
        <v>27050</v>
      </c>
    </row>
    <row r="2540" spans="1:12" x14ac:dyDescent="0.25">
      <c r="A2540" s="3" t="s">
        <v>6964</v>
      </c>
      <c r="B2540" s="4" t="s">
        <v>7939</v>
      </c>
      <c r="C2540" s="4" t="s">
        <v>14</v>
      </c>
      <c r="D2540" s="4" t="s">
        <v>15</v>
      </c>
      <c r="E2540" s="5" t="str">
        <f>"9150005"</f>
        <v>9150005</v>
      </c>
      <c r="F2540" s="3" t="s">
        <v>8087</v>
      </c>
      <c r="G2540" s="5">
        <v>2622028106</v>
      </c>
      <c r="H2540" s="4" t="s">
        <v>8088</v>
      </c>
      <c r="I2540" s="4" t="s">
        <v>7942</v>
      </c>
      <c r="J2540" s="4" t="s">
        <v>8040</v>
      </c>
      <c r="K2540" s="4" t="s">
        <v>8089</v>
      </c>
      <c r="L2540" s="5">
        <v>27200</v>
      </c>
    </row>
    <row r="2541" spans="1:12" x14ac:dyDescent="0.25">
      <c r="A2541" s="3" t="s">
        <v>6964</v>
      </c>
      <c r="B2541" s="4" t="s">
        <v>7939</v>
      </c>
      <c r="C2541" s="4" t="s">
        <v>14</v>
      </c>
      <c r="D2541" s="4" t="s">
        <v>15</v>
      </c>
      <c r="E2541" s="5" t="str">
        <f>"9150050"</f>
        <v>9150050</v>
      </c>
      <c r="F2541" s="3" t="s">
        <v>8090</v>
      </c>
      <c r="G2541" s="5">
        <v>2622061227</v>
      </c>
      <c r="H2541" s="4" t="s">
        <v>8091</v>
      </c>
      <c r="I2541" s="4" t="s">
        <v>7942</v>
      </c>
      <c r="J2541" s="4" t="s">
        <v>8092</v>
      </c>
      <c r="K2541" s="4" t="s">
        <v>8092</v>
      </c>
      <c r="L2541" s="5">
        <v>27200</v>
      </c>
    </row>
    <row r="2542" spans="1:12" x14ac:dyDescent="0.25">
      <c r="A2542" s="3" t="s">
        <v>6964</v>
      </c>
      <c r="B2542" s="4" t="s">
        <v>7939</v>
      </c>
      <c r="C2542" s="4" t="s">
        <v>14</v>
      </c>
      <c r="D2542" s="4" t="s">
        <v>15</v>
      </c>
      <c r="E2542" s="5" t="str">
        <f>"9150159"</f>
        <v>9150159</v>
      </c>
      <c r="F2542" s="3" t="s">
        <v>8093</v>
      </c>
      <c r="G2542" s="5">
        <v>2625022302</v>
      </c>
      <c r="H2542" s="4" t="s">
        <v>8094</v>
      </c>
      <c r="I2542" s="4" t="s">
        <v>8095</v>
      </c>
      <c r="J2542" s="4" t="s">
        <v>8096</v>
      </c>
      <c r="K2542" s="4" t="s">
        <v>8097</v>
      </c>
      <c r="L2542" s="5">
        <v>27055</v>
      </c>
    </row>
    <row r="2543" spans="1:12" x14ac:dyDescent="0.25">
      <c r="A2543" s="3" t="s">
        <v>6964</v>
      </c>
      <c r="B2543" s="4" t="s">
        <v>7939</v>
      </c>
      <c r="C2543" s="4" t="s">
        <v>14</v>
      </c>
      <c r="D2543" s="4" t="s">
        <v>15</v>
      </c>
      <c r="E2543" s="5" t="str">
        <f>"9150311"</f>
        <v>9150311</v>
      </c>
      <c r="F2543" s="3" t="s">
        <v>8098</v>
      </c>
      <c r="G2543" s="5">
        <v>2621096236</v>
      </c>
      <c r="H2543" s="4" t="s">
        <v>8099</v>
      </c>
      <c r="I2543" s="4" t="s">
        <v>7956</v>
      </c>
      <c r="J2543" s="4" t="s">
        <v>8100</v>
      </c>
      <c r="K2543" s="4" t="s">
        <v>8101</v>
      </c>
      <c r="L2543" s="5">
        <v>27100</v>
      </c>
    </row>
    <row r="2544" spans="1:12" x14ac:dyDescent="0.25">
      <c r="A2544" s="3" t="s">
        <v>6964</v>
      </c>
      <c r="B2544" s="4" t="s">
        <v>7939</v>
      </c>
      <c r="C2544" s="4" t="s">
        <v>14</v>
      </c>
      <c r="D2544" s="4" t="s">
        <v>15</v>
      </c>
      <c r="E2544" s="5" t="str">
        <f>"9150061"</f>
        <v>9150061</v>
      </c>
      <c r="F2544" s="3" t="s">
        <v>8102</v>
      </c>
      <c r="G2544" s="5">
        <v>2621033140</v>
      </c>
      <c r="H2544" s="4" t="s">
        <v>8103</v>
      </c>
      <c r="I2544" s="4" t="s">
        <v>7956</v>
      </c>
      <c r="J2544" s="4" t="s">
        <v>273</v>
      </c>
      <c r="K2544" s="4" t="s">
        <v>7971</v>
      </c>
      <c r="L2544" s="5">
        <v>27100</v>
      </c>
    </row>
    <row r="2545" spans="1:12" x14ac:dyDescent="0.25">
      <c r="A2545" s="3" t="s">
        <v>6964</v>
      </c>
      <c r="B2545" s="4" t="s">
        <v>7939</v>
      </c>
      <c r="C2545" s="4" t="s">
        <v>14</v>
      </c>
      <c r="D2545" s="4" t="s">
        <v>15</v>
      </c>
      <c r="E2545" s="5" t="str">
        <f>"9150110"</f>
        <v>9150110</v>
      </c>
      <c r="F2545" s="3" t="s">
        <v>8104</v>
      </c>
      <c r="G2545" s="5">
        <v>2624031390</v>
      </c>
      <c r="H2545" s="4" t="s">
        <v>8105</v>
      </c>
      <c r="I2545" s="4" t="s">
        <v>7997</v>
      </c>
      <c r="J2545" s="4" t="s">
        <v>8106</v>
      </c>
      <c r="K2545" s="4" t="s">
        <v>8107</v>
      </c>
      <c r="L2545" s="5">
        <v>27065</v>
      </c>
    </row>
    <row r="2546" spans="1:12" x14ac:dyDescent="0.25">
      <c r="A2546" s="3" t="s">
        <v>6964</v>
      </c>
      <c r="B2546" s="4" t="s">
        <v>7939</v>
      </c>
      <c r="C2546" s="4" t="s">
        <v>14</v>
      </c>
      <c r="D2546" s="4" t="s">
        <v>830</v>
      </c>
      <c r="E2546" s="5" t="str">
        <f>"9150006"</f>
        <v>9150006</v>
      </c>
      <c r="F2546" s="3" t="s">
        <v>8108</v>
      </c>
      <c r="G2546" s="5">
        <v>2622028687</v>
      </c>
      <c r="H2546" s="4" t="s">
        <v>8109</v>
      </c>
      <c r="I2546" s="4" t="s">
        <v>7942</v>
      </c>
      <c r="J2546" s="4" t="s">
        <v>8040</v>
      </c>
      <c r="K2546" s="4" t="s">
        <v>8110</v>
      </c>
      <c r="L2546" s="5">
        <v>27200</v>
      </c>
    </row>
    <row r="2547" spans="1:12" x14ac:dyDescent="0.25">
      <c r="A2547" s="3" t="s">
        <v>6964</v>
      </c>
      <c r="B2547" s="4" t="s">
        <v>7939</v>
      </c>
      <c r="C2547" s="4" t="s">
        <v>14</v>
      </c>
      <c r="D2547" s="4" t="s">
        <v>15</v>
      </c>
      <c r="E2547" s="5" t="str">
        <f>"9150282"</f>
        <v>9150282</v>
      </c>
      <c r="F2547" s="3" t="s">
        <v>8111</v>
      </c>
      <c r="G2547" s="5">
        <v>2621051246</v>
      </c>
      <c r="H2547" s="4" t="s">
        <v>8112</v>
      </c>
      <c r="I2547" s="4" t="s">
        <v>7956</v>
      </c>
      <c r="J2547" s="4" t="s">
        <v>8113</v>
      </c>
      <c r="K2547" s="4" t="s">
        <v>8114</v>
      </c>
      <c r="L2547" s="5">
        <v>27100</v>
      </c>
    </row>
    <row r="2548" spans="1:12" x14ac:dyDescent="0.25">
      <c r="A2548" s="3" t="s">
        <v>6964</v>
      </c>
      <c r="B2548" s="4" t="s">
        <v>7939</v>
      </c>
      <c r="C2548" s="4" t="s">
        <v>14</v>
      </c>
      <c r="D2548" s="4" t="s">
        <v>15</v>
      </c>
      <c r="E2548" s="5" t="str">
        <f>"9150200"</f>
        <v>9150200</v>
      </c>
      <c r="F2548" s="3" t="s">
        <v>8115</v>
      </c>
      <c r="G2548" s="5">
        <v>2623054238</v>
      </c>
      <c r="H2548" s="4" t="s">
        <v>8116</v>
      </c>
      <c r="I2548" s="4" t="s">
        <v>8031</v>
      </c>
      <c r="J2548" s="4" t="s">
        <v>8050</v>
      </c>
      <c r="K2548" s="4" t="s">
        <v>8117</v>
      </c>
      <c r="L2548" s="5">
        <v>27051</v>
      </c>
    </row>
    <row r="2549" spans="1:12" x14ac:dyDescent="0.25">
      <c r="A2549" s="3" t="s">
        <v>6964</v>
      </c>
      <c r="B2549" s="4" t="s">
        <v>7939</v>
      </c>
      <c r="C2549" s="4" t="s">
        <v>14</v>
      </c>
      <c r="D2549" s="4" t="s">
        <v>15</v>
      </c>
      <c r="E2549" s="5" t="str">
        <f>"9150144"</f>
        <v>9150144</v>
      </c>
      <c r="F2549" s="3" t="s">
        <v>8118</v>
      </c>
      <c r="G2549" s="5">
        <v>2621071235</v>
      </c>
      <c r="H2549" s="4" t="s">
        <v>8119</v>
      </c>
      <c r="I2549" s="4" t="s">
        <v>7956</v>
      </c>
      <c r="J2549" s="4" t="s">
        <v>8120</v>
      </c>
      <c r="K2549" s="4" t="s">
        <v>8121</v>
      </c>
      <c r="L2549" s="5">
        <v>27100</v>
      </c>
    </row>
    <row r="2550" spans="1:12" x14ac:dyDescent="0.25">
      <c r="A2550" s="3" t="s">
        <v>6964</v>
      </c>
      <c r="B2550" s="4" t="s">
        <v>7939</v>
      </c>
      <c r="C2550" s="4" t="s">
        <v>14</v>
      </c>
      <c r="D2550" s="4" t="s">
        <v>15</v>
      </c>
      <c r="E2550" s="5" t="str">
        <f>"9150225"</f>
        <v>9150225</v>
      </c>
      <c r="F2550" s="3" t="s">
        <v>8122</v>
      </c>
      <c r="G2550" s="5">
        <v>2623033214</v>
      </c>
      <c r="H2550" s="4" t="s">
        <v>8123</v>
      </c>
      <c r="I2550" s="4" t="s">
        <v>7983</v>
      </c>
      <c r="J2550" s="4" t="s">
        <v>8124</v>
      </c>
      <c r="K2550" s="4" t="s">
        <v>8125</v>
      </c>
      <c r="L2550" s="5">
        <v>27300</v>
      </c>
    </row>
    <row r="2551" spans="1:12" x14ac:dyDescent="0.25">
      <c r="A2551" s="3" t="s">
        <v>6964</v>
      </c>
      <c r="B2551" s="4" t="s">
        <v>7939</v>
      </c>
      <c r="C2551" s="4" t="s">
        <v>14</v>
      </c>
      <c r="D2551" s="4" t="s">
        <v>15</v>
      </c>
      <c r="E2551" s="5" t="str">
        <f>"9150087"</f>
        <v>9150087</v>
      </c>
      <c r="F2551" s="3" t="s">
        <v>8126</v>
      </c>
      <c r="G2551" s="5">
        <v>2624022652</v>
      </c>
      <c r="H2551" s="4" t="s">
        <v>8127</v>
      </c>
      <c r="I2551" s="4" t="s">
        <v>7997</v>
      </c>
      <c r="J2551" s="4" t="s">
        <v>8128</v>
      </c>
      <c r="K2551" s="4" t="s">
        <v>8129</v>
      </c>
      <c r="L2551" s="5">
        <v>27065</v>
      </c>
    </row>
    <row r="2552" spans="1:12" x14ac:dyDescent="0.25">
      <c r="A2552" s="3" t="s">
        <v>6964</v>
      </c>
      <c r="B2552" s="4" t="s">
        <v>7939</v>
      </c>
      <c r="C2552" s="4" t="s">
        <v>14</v>
      </c>
      <c r="D2552" s="4" t="s">
        <v>15</v>
      </c>
      <c r="E2552" s="5" t="str">
        <f>"9150056"</f>
        <v>9150056</v>
      </c>
      <c r="F2552" s="3" t="s">
        <v>8130</v>
      </c>
      <c r="G2552" s="5">
        <v>2621027774</v>
      </c>
      <c r="H2552" s="4" t="s">
        <v>8131</v>
      </c>
      <c r="I2552" s="4" t="s">
        <v>7956</v>
      </c>
      <c r="J2552" s="4" t="s">
        <v>273</v>
      </c>
      <c r="K2552" s="4" t="s">
        <v>8132</v>
      </c>
      <c r="L2552" s="5">
        <v>27131</v>
      </c>
    </row>
    <row r="2553" spans="1:12" x14ac:dyDescent="0.25">
      <c r="A2553" s="3" t="s">
        <v>6964</v>
      </c>
      <c r="B2553" s="4" t="s">
        <v>7939</v>
      </c>
      <c r="C2553" s="4" t="s">
        <v>14</v>
      </c>
      <c r="D2553" s="4" t="s">
        <v>15</v>
      </c>
      <c r="E2553" s="5" t="str">
        <f>"9150304"</f>
        <v>9150304</v>
      </c>
      <c r="F2553" s="3" t="s">
        <v>8133</v>
      </c>
      <c r="G2553" s="5">
        <v>2621054382</v>
      </c>
      <c r="H2553" s="4" t="s">
        <v>8134</v>
      </c>
      <c r="I2553" s="4" t="s">
        <v>7956</v>
      </c>
      <c r="J2553" s="4" t="s">
        <v>8135</v>
      </c>
      <c r="K2553" s="4" t="s">
        <v>8136</v>
      </c>
      <c r="L2553" s="5">
        <v>27131</v>
      </c>
    </row>
    <row r="2554" spans="1:12" x14ac:dyDescent="0.25">
      <c r="A2554" s="3" t="s">
        <v>6964</v>
      </c>
      <c r="B2554" s="4" t="s">
        <v>7939</v>
      </c>
      <c r="C2554" s="4" t="s">
        <v>14</v>
      </c>
      <c r="D2554" s="4" t="s">
        <v>15</v>
      </c>
      <c r="E2554" s="5" t="str">
        <f>"9150240"</f>
        <v>9150240</v>
      </c>
      <c r="F2554" s="3" t="s">
        <v>8137</v>
      </c>
      <c r="G2554" s="5">
        <v>2623071474</v>
      </c>
      <c r="H2554" s="4" t="s">
        <v>8138</v>
      </c>
      <c r="I2554" s="4" t="s">
        <v>8031</v>
      </c>
      <c r="J2554" s="4" t="s">
        <v>8139</v>
      </c>
      <c r="K2554" s="4" t="s">
        <v>8140</v>
      </c>
      <c r="L2554" s="5">
        <v>27052</v>
      </c>
    </row>
    <row r="2555" spans="1:12" x14ac:dyDescent="0.25">
      <c r="A2555" s="3" t="s">
        <v>6964</v>
      </c>
      <c r="B2555" s="4" t="s">
        <v>7939</v>
      </c>
      <c r="C2555" s="4" t="s">
        <v>14</v>
      </c>
      <c r="D2555" s="4" t="s">
        <v>15</v>
      </c>
      <c r="E2555" s="5" t="str">
        <f>"9150247"</f>
        <v>9150247</v>
      </c>
      <c r="F2555" s="3" t="s">
        <v>8141</v>
      </c>
      <c r="G2555" s="5">
        <v>2623071486</v>
      </c>
      <c r="H2555" s="4" t="s">
        <v>8142</v>
      </c>
      <c r="I2555" s="4" t="s">
        <v>8031</v>
      </c>
      <c r="J2555" s="4"/>
      <c r="K2555" s="4" t="s">
        <v>8143</v>
      </c>
      <c r="L2555" s="5">
        <v>27052</v>
      </c>
    </row>
    <row r="2556" spans="1:12" x14ac:dyDescent="0.25">
      <c r="A2556" s="3" t="s">
        <v>6964</v>
      </c>
      <c r="B2556" s="4" t="s">
        <v>7939</v>
      </c>
      <c r="C2556" s="4" t="s">
        <v>14</v>
      </c>
      <c r="D2556" s="4" t="s">
        <v>15</v>
      </c>
      <c r="E2556" s="5" t="str">
        <f>"9150120"</f>
        <v>9150120</v>
      </c>
      <c r="F2556" s="3" t="s">
        <v>8144</v>
      </c>
      <c r="G2556" s="5">
        <v>2625031383</v>
      </c>
      <c r="H2556" s="4" t="s">
        <v>8145</v>
      </c>
      <c r="I2556" s="4" t="s">
        <v>8146</v>
      </c>
      <c r="J2556" s="4" t="s">
        <v>8147</v>
      </c>
      <c r="K2556" s="4" t="s">
        <v>8147</v>
      </c>
      <c r="L2556" s="5">
        <v>27054</v>
      </c>
    </row>
    <row r="2557" spans="1:12" x14ac:dyDescent="0.25">
      <c r="A2557" s="3" t="s">
        <v>6964</v>
      </c>
      <c r="B2557" s="4" t="s">
        <v>7939</v>
      </c>
      <c r="C2557" s="4" t="s">
        <v>25</v>
      </c>
      <c r="D2557" s="4" t="s">
        <v>26</v>
      </c>
      <c r="E2557" s="5" t="str">
        <f>"9150158"</f>
        <v>9150158</v>
      </c>
      <c r="F2557" s="3" t="s">
        <v>8148</v>
      </c>
      <c r="G2557" s="5">
        <v>2625022319</v>
      </c>
      <c r="H2557" s="4" t="s">
        <v>8149</v>
      </c>
      <c r="I2557" s="4" t="s">
        <v>8095</v>
      </c>
      <c r="J2557" s="4" t="s">
        <v>8096</v>
      </c>
      <c r="K2557" s="4" t="s">
        <v>8097</v>
      </c>
      <c r="L2557" s="5">
        <v>27055</v>
      </c>
    </row>
    <row r="2558" spans="1:12" x14ac:dyDescent="0.25">
      <c r="A2558" s="3" t="s">
        <v>6964</v>
      </c>
      <c r="B2558" s="4" t="s">
        <v>7939</v>
      </c>
      <c r="C2558" s="4" t="s">
        <v>25</v>
      </c>
      <c r="D2558" s="4" t="s">
        <v>26</v>
      </c>
      <c r="E2558" s="5" t="str">
        <f>"9150445"</f>
        <v>9150445</v>
      </c>
      <c r="F2558" s="3" t="s">
        <v>8150</v>
      </c>
      <c r="G2558" s="5">
        <v>2625032425</v>
      </c>
      <c r="H2558" s="4" t="s">
        <v>8151</v>
      </c>
      <c r="I2558" s="4" t="s">
        <v>8146</v>
      </c>
      <c r="J2558" s="4" t="s">
        <v>8146</v>
      </c>
      <c r="K2558" s="4" t="s">
        <v>8147</v>
      </c>
      <c r="L2558" s="5">
        <v>27054</v>
      </c>
    </row>
    <row r="2559" spans="1:12" ht="30" x14ac:dyDescent="0.25">
      <c r="A2559" s="3" t="s">
        <v>6964</v>
      </c>
      <c r="B2559" s="4" t="s">
        <v>7939</v>
      </c>
      <c r="C2559" s="4" t="s">
        <v>14</v>
      </c>
      <c r="D2559" s="4" t="s">
        <v>830</v>
      </c>
      <c r="E2559" s="5" t="str">
        <f>"9150206"</f>
        <v>9150206</v>
      </c>
      <c r="F2559" s="3" t="s">
        <v>8152</v>
      </c>
      <c r="G2559" s="5">
        <v>2623022239</v>
      </c>
      <c r="H2559" s="4" t="s">
        <v>8153</v>
      </c>
      <c r="I2559" s="4" t="s">
        <v>8031</v>
      </c>
      <c r="J2559" s="4" t="s">
        <v>8043</v>
      </c>
      <c r="K2559" s="4" t="s">
        <v>8059</v>
      </c>
      <c r="L2559" s="5">
        <v>27053</v>
      </c>
    </row>
    <row r="2560" spans="1:12" x14ac:dyDescent="0.25">
      <c r="A2560" s="3" t="s">
        <v>6964</v>
      </c>
      <c r="B2560" s="4" t="s">
        <v>7939</v>
      </c>
      <c r="C2560" s="4" t="s">
        <v>14</v>
      </c>
      <c r="D2560" s="4" t="s">
        <v>15</v>
      </c>
      <c r="E2560" s="5" t="str">
        <f>"9150259"</f>
        <v>9150259</v>
      </c>
      <c r="F2560" s="3" t="s">
        <v>8154</v>
      </c>
      <c r="G2560" s="5">
        <v>2623061219</v>
      </c>
      <c r="H2560" s="4" t="s">
        <v>8155</v>
      </c>
      <c r="I2560" s="4" t="s">
        <v>7983</v>
      </c>
      <c r="J2560" s="4" t="s">
        <v>8056</v>
      </c>
      <c r="K2560" s="4" t="s">
        <v>8156</v>
      </c>
      <c r="L2560" s="5">
        <v>27057</v>
      </c>
    </row>
    <row r="2561" spans="1:12" x14ac:dyDescent="0.25">
      <c r="A2561" s="3" t="s">
        <v>6964</v>
      </c>
      <c r="B2561" s="4" t="s">
        <v>7939</v>
      </c>
      <c r="C2561" s="4" t="s">
        <v>14</v>
      </c>
      <c r="D2561" s="4" t="s">
        <v>15</v>
      </c>
      <c r="E2561" s="5" t="str">
        <f>"9150220"</f>
        <v>9150220</v>
      </c>
      <c r="F2561" s="3" t="s">
        <v>8157</v>
      </c>
      <c r="G2561" s="5">
        <v>2623071327</v>
      </c>
      <c r="H2561" s="4" t="s">
        <v>8158</v>
      </c>
      <c r="I2561" s="4" t="s">
        <v>8031</v>
      </c>
      <c r="J2561" s="4" t="s">
        <v>8033</v>
      </c>
      <c r="K2561" s="4" t="s">
        <v>8033</v>
      </c>
      <c r="L2561" s="5">
        <v>27052</v>
      </c>
    </row>
    <row r="2562" spans="1:12" x14ac:dyDescent="0.25">
      <c r="A2562" s="3" t="s">
        <v>6964</v>
      </c>
      <c r="B2562" s="4" t="s">
        <v>7939</v>
      </c>
      <c r="C2562" s="4" t="s">
        <v>14</v>
      </c>
      <c r="D2562" s="4" t="s">
        <v>15</v>
      </c>
      <c r="E2562" s="5" t="str">
        <f>"9150214"</f>
        <v>9150214</v>
      </c>
      <c r="F2562" s="3" t="s">
        <v>8159</v>
      </c>
      <c r="G2562" s="5">
        <v>2623041225</v>
      </c>
      <c r="H2562" s="4" t="s">
        <v>8160</v>
      </c>
      <c r="I2562" s="4" t="s">
        <v>7983</v>
      </c>
      <c r="J2562" s="4" t="s">
        <v>8085</v>
      </c>
      <c r="K2562" s="4" t="s">
        <v>8161</v>
      </c>
      <c r="L2562" s="5">
        <v>27050</v>
      </c>
    </row>
    <row r="2563" spans="1:12" x14ac:dyDescent="0.25">
      <c r="A2563" s="3" t="s">
        <v>6964</v>
      </c>
      <c r="B2563" s="4" t="s">
        <v>7939</v>
      </c>
      <c r="C2563" s="4" t="s">
        <v>14</v>
      </c>
      <c r="D2563" s="4" t="s">
        <v>15</v>
      </c>
      <c r="E2563" s="5" t="str">
        <f>"9150250"</f>
        <v>9150250</v>
      </c>
      <c r="F2563" s="3" t="s">
        <v>8162</v>
      </c>
      <c r="G2563" s="5">
        <v>2623094215</v>
      </c>
      <c r="H2563" s="4" t="s">
        <v>8163</v>
      </c>
      <c r="I2563" s="4" t="s">
        <v>8031</v>
      </c>
      <c r="J2563" s="4" t="s">
        <v>8164</v>
      </c>
      <c r="K2563" s="4" t="s">
        <v>6928</v>
      </c>
      <c r="L2563" s="5">
        <v>27053</v>
      </c>
    </row>
    <row r="2564" spans="1:12" x14ac:dyDescent="0.25">
      <c r="A2564" s="3" t="s">
        <v>8165</v>
      </c>
      <c r="B2564" s="4" t="s">
        <v>8166</v>
      </c>
      <c r="C2564" s="4" t="s">
        <v>14</v>
      </c>
      <c r="D2564" s="4" t="s">
        <v>15</v>
      </c>
      <c r="E2564" s="5" t="str">
        <f>"9080010"</f>
        <v>9080010</v>
      </c>
      <c r="F2564" s="3" t="s">
        <v>8167</v>
      </c>
      <c r="G2564" s="5">
        <v>2462022578</v>
      </c>
      <c r="H2564" s="4" t="s">
        <v>8168</v>
      </c>
      <c r="I2564" s="4" t="s">
        <v>8169</v>
      </c>
      <c r="J2564" s="4" t="s">
        <v>8170</v>
      </c>
      <c r="K2564" s="4" t="s">
        <v>8171</v>
      </c>
      <c r="L2564" s="5">
        <v>51100</v>
      </c>
    </row>
    <row r="2565" spans="1:12" x14ac:dyDescent="0.25">
      <c r="A2565" s="3" t="s">
        <v>8165</v>
      </c>
      <c r="B2565" s="4" t="s">
        <v>8166</v>
      </c>
      <c r="C2565" s="4" t="s">
        <v>14</v>
      </c>
      <c r="D2565" s="4" t="s">
        <v>15</v>
      </c>
      <c r="E2565" s="5" t="str">
        <f>"9080008"</f>
        <v>9080008</v>
      </c>
      <c r="F2565" s="3" t="s">
        <v>8172</v>
      </c>
      <c r="G2565" s="5">
        <v>2462022511</v>
      </c>
      <c r="H2565" s="4" t="s">
        <v>8173</v>
      </c>
      <c r="I2565" s="4" t="s">
        <v>8169</v>
      </c>
      <c r="J2565" s="4" t="s">
        <v>8174</v>
      </c>
      <c r="K2565" s="4" t="s">
        <v>8175</v>
      </c>
      <c r="L2565" s="5">
        <v>51100</v>
      </c>
    </row>
    <row r="2566" spans="1:12" x14ac:dyDescent="0.25">
      <c r="A2566" s="3" t="s">
        <v>8165</v>
      </c>
      <c r="B2566" s="4" t="s">
        <v>8166</v>
      </c>
      <c r="C2566" s="4" t="s">
        <v>14</v>
      </c>
      <c r="D2566" s="4" t="s">
        <v>15</v>
      </c>
      <c r="E2566" s="5" t="str">
        <f>"9080007"</f>
        <v>9080007</v>
      </c>
      <c r="F2566" s="3" t="s">
        <v>8176</v>
      </c>
      <c r="G2566" s="5">
        <v>2462022513</v>
      </c>
      <c r="H2566" s="4" t="s">
        <v>8177</v>
      </c>
      <c r="I2566" s="4" t="s">
        <v>8169</v>
      </c>
      <c r="J2566" s="4" t="s">
        <v>8174</v>
      </c>
      <c r="K2566" s="4" t="s">
        <v>8178</v>
      </c>
      <c r="L2566" s="5">
        <v>51100</v>
      </c>
    </row>
    <row r="2567" spans="1:12" x14ac:dyDescent="0.25">
      <c r="A2567" s="3" t="s">
        <v>8165</v>
      </c>
      <c r="B2567" s="4" t="s">
        <v>8166</v>
      </c>
      <c r="C2567" s="4" t="s">
        <v>14</v>
      </c>
      <c r="D2567" s="4" t="s">
        <v>15</v>
      </c>
      <c r="E2567" s="5" t="str">
        <f>"9080020"</f>
        <v>9080020</v>
      </c>
      <c r="F2567" s="3" t="s">
        <v>8179</v>
      </c>
      <c r="G2567" s="5">
        <v>2462031222</v>
      </c>
      <c r="H2567" s="4" t="s">
        <v>8180</v>
      </c>
      <c r="I2567" s="4" t="s">
        <v>8181</v>
      </c>
      <c r="J2567" s="4" t="s">
        <v>8182</v>
      </c>
      <c r="K2567" s="4" t="s">
        <v>8182</v>
      </c>
      <c r="L2567" s="5">
        <v>51200</v>
      </c>
    </row>
    <row r="2568" spans="1:12" x14ac:dyDescent="0.25">
      <c r="A2568" s="3" t="s">
        <v>8165</v>
      </c>
      <c r="B2568" s="4" t="s">
        <v>8166</v>
      </c>
      <c r="C2568" s="4" t="s">
        <v>25</v>
      </c>
      <c r="D2568" s="4" t="s">
        <v>26</v>
      </c>
      <c r="E2568" s="5" t="str">
        <f>"9080014"</f>
        <v>9080014</v>
      </c>
      <c r="F2568" s="3" t="s">
        <v>8183</v>
      </c>
      <c r="G2568" s="5">
        <v>2462028670</v>
      </c>
      <c r="H2568" s="4" t="s">
        <v>8184</v>
      </c>
      <c r="I2568" s="4" t="s">
        <v>8169</v>
      </c>
      <c r="J2568" s="4" t="s">
        <v>8169</v>
      </c>
      <c r="K2568" s="4" t="s">
        <v>8185</v>
      </c>
      <c r="L2568" s="5">
        <v>51100</v>
      </c>
    </row>
    <row r="2569" spans="1:12" x14ac:dyDescent="0.25">
      <c r="A2569" s="3" t="s">
        <v>8165</v>
      </c>
      <c r="B2569" s="4" t="s">
        <v>8166</v>
      </c>
      <c r="C2569" s="4" t="s">
        <v>25</v>
      </c>
      <c r="D2569" s="4" t="s">
        <v>26</v>
      </c>
      <c r="E2569" s="5" t="str">
        <f>"9080019"</f>
        <v>9080019</v>
      </c>
      <c r="F2569" s="3" t="s">
        <v>8186</v>
      </c>
      <c r="G2569" s="5">
        <v>2462031589</v>
      </c>
      <c r="H2569" s="4" t="s">
        <v>8187</v>
      </c>
      <c r="I2569" s="4" t="s">
        <v>8181</v>
      </c>
      <c r="J2569" s="4" t="s">
        <v>8181</v>
      </c>
      <c r="K2569" s="4" t="s">
        <v>8182</v>
      </c>
      <c r="L2569" s="5">
        <v>51200</v>
      </c>
    </row>
    <row r="2570" spans="1:12" x14ac:dyDescent="0.25">
      <c r="A2570" s="3" t="s">
        <v>8165</v>
      </c>
      <c r="B2570" s="4" t="s">
        <v>8166</v>
      </c>
      <c r="C2570" s="4" t="s">
        <v>14</v>
      </c>
      <c r="D2570" s="4" t="s">
        <v>15</v>
      </c>
      <c r="E2570" s="5" t="str">
        <f>"9080156"</f>
        <v>9080156</v>
      </c>
      <c r="F2570" s="3" t="s">
        <v>8188</v>
      </c>
      <c r="G2570" s="5">
        <v>2462080327</v>
      </c>
      <c r="H2570" s="4" t="s">
        <v>8189</v>
      </c>
      <c r="I2570" s="4" t="s">
        <v>8169</v>
      </c>
      <c r="J2570" s="4" t="s">
        <v>8174</v>
      </c>
      <c r="K2570" s="4" t="s">
        <v>8190</v>
      </c>
      <c r="L2570" s="5">
        <v>51100</v>
      </c>
    </row>
    <row r="2571" spans="1:12" x14ac:dyDescent="0.25">
      <c r="A2571" s="3" t="s">
        <v>8165</v>
      </c>
      <c r="B2571" s="4" t="s">
        <v>8166</v>
      </c>
      <c r="C2571" s="4" t="s">
        <v>25</v>
      </c>
      <c r="D2571" s="4" t="s">
        <v>26</v>
      </c>
      <c r="E2571" s="5" t="str">
        <f>"9080015"</f>
        <v>9080015</v>
      </c>
      <c r="F2571" s="3" t="s">
        <v>8191</v>
      </c>
      <c r="G2571" s="5">
        <v>2462024387</v>
      </c>
      <c r="H2571" s="4" t="s">
        <v>8192</v>
      </c>
      <c r="I2571" s="4" t="s">
        <v>8169</v>
      </c>
      <c r="J2571" s="4" t="s">
        <v>8169</v>
      </c>
      <c r="K2571" s="4" t="s">
        <v>8193</v>
      </c>
      <c r="L2571" s="5">
        <v>51100</v>
      </c>
    </row>
    <row r="2572" spans="1:12" x14ac:dyDescent="0.25">
      <c r="A2572" s="3" t="s">
        <v>8165</v>
      </c>
      <c r="B2572" s="4" t="s">
        <v>8166</v>
      </c>
      <c r="C2572" s="4" t="s">
        <v>25</v>
      </c>
      <c r="D2572" s="4" t="s">
        <v>26</v>
      </c>
      <c r="E2572" s="5" t="str">
        <f>"9080013"</f>
        <v>9080013</v>
      </c>
      <c r="F2572" s="3" t="s">
        <v>8194</v>
      </c>
      <c r="G2572" s="5">
        <v>2462022922</v>
      </c>
      <c r="H2572" s="4" t="s">
        <v>8195</v>
      </c>
      <c r="I2572" s="4" t="s">
        <v>8169</v>
      </c>
      <c r="J2572" s="4" t="s">
        <v>8169</v>
      </c>
      <c r="K2572" s="4" t="s">
        <v>8196</v>
      </c>
      <c r="L2572" s="5">
        <v>51100</v>
      </c>
    </row>
    <row r="2573" spans="1:12" x14ac:dyDescent="0.25">
      <c r="A2573" s="3" t="s">
        <v>8165</v>
      </c>
      <c r="B2573" s="4" t="s">
        <v>8166</v>
      </c>
      <c r="C2573" s="4" t="s">
        <v>14</v>
      </c>
      <c r="D2573" s="4" t="s">
        <v>15</v>
      </c>
      <c r="E2573" s="5" t="str">
        <f>"9080017"</f>
        <v>9080017</v>
      </c>
      <c r="F2573" s="3" t="s">
        <v>8197</v>
      </c>
      <c r="G2573" s="5">
        <v>2462031227</v>
      </c>
      <c r="H2573" s="4" t="s">
        <v>8198</v>
      </c>
      <c r="I2573" s="4" t="s">
        <v>8181</v>
      </c>
      <c r="J2573" s="4" t="s">
        <v>8182</v>
      </c>
      <c r="K2573" s="4" t="s">
        <v>8199</v>
      </c>
      <c r="L2573" s="5">
        <v>51200</v>
      </c>
    </row>
    <row r="2574" spans="1:12" x14ac:dyDescent="0.25">
      <c r="A2574" s="3" t="s">
        <v>8165</v>
      </c>
      <c r="B2574" s="4" t="s">
        <v>8166</v>
      </c>
      <c r="C2574" s="4" t="s">
        <v>14</v>
      </c>
      <c r="D2574" s="4" t="s">
        <v>15</v>
      </c>
      <c r="E2574" s="5" t="str">
        <f>"9080009"</f>
        <v>9080009</v>
      </c>
      <c r="F2574" s="3" t="s">
        <v>8200</v>
      </c>
      <c r="G2574" s="5">
        <v>2462022223</v>
      </c>
      <c r="H2574" s="4" t="s">
        <v>8201</v>
      </c>
      <c r="I2574" s="4" t="s">
        <v>8169</v>
      </c>
      <c r="J2574" s="4" t="s">
        <v>8174</v>
      </c>
      <c r="K2574" s="4" t="s">
        <v>8202</v>
      </c>
      <c r="L2574" s="5">
        <v>51100</v>
      </c>
    </row>
    <row r="2575" spans="1:12" x14ac:dyDescent="0.25">
      <c r="A2575" s="3" t="s">
        <v>8165</v>
      </c>
      <c r="B2575" s="4" t="s">
        <v>8166</v>
      </c>
      <c r="C2575" s="4" t="s">
        <v>14</v>
      </c>
      <c r="D2575" s="4" t="s">
        <v>15</v>
      </c>
      <c r="E2575" s="5" t="str">
        <f>"9521083"</f>
        <v>9521083</v>
      </c>
      <c r="F2575" s="3" t="s">
        <v>8203</v>
      </c>
      <c r="G2575" s="5">
        <v>2462087796</v>
      </c>
      <c r="H2575" s="4" t="s">
        <v>8204</v>
      </c>
      <c r="I2575" s="4" t="s">
        <v>8169</v>
      </c>
      <c r="J2575" s="4" t="s">
        <v>8174</v>
      </c>
      <c r="K2575" s="4" t="s">
        <v>8205</v>
      </c>
      <c r="L2575" s="5">
        <v>51100</v>
      </c>
    </row>
    <row r="2576" spans="1:12" x14ac:dyDescent="0.25">
      <c r="A2576" s="3" t="s">
        <v>8165</v>
      </c>
      <c r="B2576" s="4" t="s">
        <v>8166</v>
      </c>
      <c r="C2576" s="4" t="s">
        <v>25</v>
      </c>
      <c r="D2576" s="4" t="s">
        <v>26</v>
      </c>
      <c r="E2576" s="5" t="str">
        <f>"9521359"</f>
        <v>9521359</v>
      </c>
      <c r="F2576" s="3" t="s">
        <v>8206</v>
      </c>
      <c r="G2576" s="5">
        <v>2462083813</v>
      </c>
      <c r="H2576" s="4" t="s">
        <v>8207</v>
      </c>
      <c r="I2576" s="4" t="s">
        <v>8169</v>
      </c>
      <c r="J2576" s="4" t="s">
        <v>8169</v>
      </c>
      <c r="K2576" s="4" t="s">
        <v>8208</v>
      </c>
      <c r="L2576" s="5">
        <v>51100</v>
      </c>
    </row>
    <row r="2577" spans="1:12" x14ac:dyDescent="0.25">
      <c r="A2577" s="3" t="s">
        <v>8165</v>
      </c>
      <c r="B2577" s="4" t="s">
        <v>8166</v>
      </c>
      <c r="C2577" s="4" t="s">
        <v>14</v>
      </c>
      <c r="D2577" s="4" t="s">
        <v>15</v>
      </c>
      <c r="E2577" s="5" t="str">
        <f>"9080011"</f>
        <v>9080011</v>
      </c>
      <c r="F2577" s="3" t="s">
        <v>8209</v>
      </c>
      <c r="G2577" s="5">
        <v>2462087060</v>
      </c>
      <c r="H2577" s="4" t="s">
        <v>8210</v>
      </c>
      <c r="I2577" s="4" t="s">
        <v>8169</v>
      </c>
      <c r="J2577" s="4" t="s">
        <v>8170</v>
      </c>
      <c r="K2577" s="4" t="s">
        <v>8171</v>
      </c>
      <c r="L2577" s="5">
        <v>51100</v>
      </c>
    </row>
    <row r="2578" spans="1:12" x14ac:dyDescent="0.25">
      <c r="A2578" s="3" t="s">
        <v>8165</v>
      </c>
      <c r="B2578" s="4" t="s">
        <v>8211</v>
      </c>
      <c r="C2578" s="4" t="s">
        <v>14</v>
      </c>
      <c r="D2578" s="4" t="s">
        <v>15</v>
      </c>
      <c r="E2578" s="5" t="str">
        <f>"9230183"</f>
        <v>9230183</v>
      </c>
      <c r="F2578" s="3" t="s">
        <v>8212</v>
      </c>
      <c r="G2578" s="5">
        <v>2467307129</v>
      </c>
      <c r="H2578" s="4" t="s">
        <v>8213</v>
      </c>
      <c r="I2578" s="4" t="s">
        <v>8214</v>
      </c>
      <c r="J2578" s="4" t="s">
        <v>8215</v>
      </c>
      <c r="K2578" s="4" t="s">
        <v>8216</v>
      </c>
      <c r="L2578" s="5">
        <v>52100</v>
      </c>
    </row>
    <row r="2579" spans="1:12" x14ac:dyDescent="0.25">
      <c r="A2579" s="3" t="s">
        <v>8165</v>
      </c>
      <c r="B2579" s="4" t="s">
        <v>8211</v>
      </c>
      <c r="C2579" s="4" t="s">
        <v>25</v>
      </c>
      <c r="D2579" s="4" t="s">
        <v>26</v>
      </c>
      <c r="E2579" s="5" t="str">
        <f>"9230009"</f>
        <v>9230009</v>
      </c>
      <c r="F2579" s="3" t="s">
        <v>8217</v>
      </c>
      <c r="G2579" s="5">
        <v>2467023003</v>
      </c>
      <c r="H2579" s="4" t="s">
        <v>8218</v>
      </c>
      <c r="I2579" s="4" t="s">
        <v>8214</v>
      </c>
      <c r="J2579" s="4" t="s">
        <v>8214</v>
      </c>
      <c r="K2579" s="4" t="s">
        <v>8219</v>
      </c>
      <c r="L2579" s="5">
        <v>52100</v>
      </c>
    </row>
    <row r="2580" spans="1:12" x14ac:dyDescent="0.25">
      <c r="A2580" s="3" t="s">
        <v>8165</v>
      </c>
      <c r="B2580" s="4" t="s">
        <v>8211</v>
      </c>
      <c r="C2580" s="4" t="s">
        <v>25</v>
      </c>
      <c r="D2580" s="4" t="s">
        <v>26</v>
      </c>
      <c r="E2580" s="5" t="str">
        <f>"9230163"</f>
        <v>9230163</v>
      </c>
      <c r="F2580" s="3" t="s">
        <v>8220</v>
      </c>
      <c r="G2580" s="5">
        <v>2467041210</v>
      </c>
      <c r="H2580" s="4" t="s">
        <v>8221</v>
      </c>
      <c r="I2580" s="4" t="s">
        <v>8222</v>
      </c>
      <c r="J2580" s="4" t="s">
        <v>8223</v>
      </c>
      <c r="K2580" s="4" t="s">
        <v>8224</v>
      </c>
      <c r="L2580" s="5">
        <v>52200</v>
      </c>
    </row>
    <row r="2581" spans="1:12" x14ac:dyDescent="0.25">
      <c r="A2581" s="3" t="s">
        <v>8165</v>
      </c>
      <c r="B2581" s="4" t="s">
        <v>8211</v>
      </c>
      <c r="C2581" s="4" t="s">
        <v>25</v>
      </c>
      <c r="D2581" s="4" t="s">
        <v>26</v>
      </c>
      <c r="E2581" s="5" t="str">
        <f>"9230001"</f>
        <v>9230001</v>
      </c>
      <c r="F2581" s="3" t="s">
        <v>8225</v>
      </c>
      <c r="G2581" s="5">
        <v>2467043322</v>
      </c>
      <c r="H2581" s="4" t="s">
        <v>8226</v>
      </c>
      <c r="I2581" s="4" t="s">
        <v>8222</v>
      </c>
      <c r="J2581" s="4" t="s">
        <v>8223</v>
      </c>
      <c r="K2581" s="4" t="s">
        <v>8227</v>
      </c>
      <c r="L2581" s="5">
        <v>52200</v>
      </c>
    </row>
    <row r="2582" spans="1:12" x14ac:dyDescent="0.25">
      <c r="A2582" s="3" t="s">
        <v>8165</v>
      </c>
      <c r="B2582" s="4" t="s">
        <v>8211</v>
      </c>
      <c r="C2582" s="4" t="s">
        <v>25</v>
      </c>
      <c r="D2582" s="4" t="s">
        <v>26</v>
      </c>
      <c r="E2582" s="5" t="str">
        <f>"9230170"</f>
        <v>9230170</v>
      </c>
      <c r="F2582" s="3" t="s">
        <v>8228</v>
      </c>
      <c r="G2582" s="5">
        <v>2467042681</v>
      </c>
      <c r="H2582" s="4" t="s">
        <v>8229</v>
      </c>
      <c r="I2582" s="4" t="s">
        <v>8222</v>
      </c>
      <c r="J2582" s="4" t="s">
        <v>8223</v>
      </c>
      <c r="K2582" s="4" t="s">
        <v>8230</v>
      </c>
      <c r="L2582" s="5">
        <v>52200</v>
      </c>
    </row>
    <row r="2583" spans="1:12" x14ac:dyDescent="0.25">
      <c r="A2583" s="3" t="s">
        <v>8165</v>
      </c>
      <c r="B2583" s="4" t="s">
        <v>8211</v>
      </c>
      <c r="C2583" s="4" t="s">
        <v>25</v>
      </c>
      <c r="D2583" s="4" t="s">
        <v>26</v>
      </c>
      <c r="E2583" s="5" t="str">
        <f>"9230010"</f>
        <v>9230010</v>
      </c>
      <c r="F2583" s="3" t="s">
        <v>8231</v>
      </c>
      <c r="G2583" s="5">
        <v>2467082574</v>
      </c>
      <c r="H2583" s="4" t="s">
        <v>8232</v>
      </c>
      <c r="I2583" s="4" t="s">
        <v>8214</v>
      </c>
      <c r="J2583" s="4" t="s">
        <v>8214</v>
      </c>
      <c r="K2583" s="4" t="s">
        <v>8233</v>
      </c>
      <c r="L2583" s="5">
        <v>52100</v>
      </c>
    </row>
    <row r="2584" spans="1:12" x14ac:dyDescent="0.25">
      <c r="A2584" s="3" t="s">
        <v>8165</v>
      </c>
      <c r="B2584" s="4" t="s">
        <v>8211</v>
      </c>
      <c r="C2584" s="4" t="s">
        <v>25</v>
      </c>
      <c r="D2584" s="4" t="s">
        <v>26</v>
      </c>
      <c r="E2584" s="5" t="str">
        <f>"9230002"</f>
        <v>9230002</v>
      </c>
      <c r="F2584" s="3" t="s">
        <v>8234</v>
      </c>
      <c r="G2584" s="5">
        <v>2467042970</v>
      </c>
      <c r="H2584" s="4" t="s">
        <v>8235</v>
      </c>
      <c r="I2584" s="4" t="s">
        <v>8222</v>
      </c>
      <c r="J2584" s="4" t="s">
        <v>8236</v>
      </c>
      <c r="K2584" s="4" t="s">
        <v>8237</v>
      </c>
      <c r="L2584" s="5">
        <v>52200</v>
      </c>
    </row>
    <row r="2585" spans="1:12" x14ac:dyDescent="0.25">
      <c r="A2585" s="3" t="s">
        <v>8165</v>
      </c>
      <c r="B2585" s="4" t="s">
        <v>8211</v>
      </c>
      <c r="C2585" s="4" t="s">
        <v>25</v>
      </c>
      <c r="D2585" s="4" t="s">
        <v>26</v>
      </c>
      <c r="E2585" s="5" t="str">
        <f>"9230011"</f>
        <v>9230011</v>
      </c>
      <c r="F2585" s="3" t="s">
        <v>8238</v>
      </c>
      <c r="G2585" s="5">
        <v>2467307005</v>
      </c>
      <c r="H2585" s="4" t="s">
        <v>8239</v>
      </c>
      <c r="I2585" s="4" t="s">
        <v>8214</v>
      </c>
      <c r="J2585" s="4" t="s">
        <v>8214</v>
      </c>
      <c r="K2585" s="4" t="s">
        <v>8240</v>
      </c>
      <c r="L2585" s="5">
        <v>52100</v>
      </c>
    </row>
    <row r="2586" spans="1:12" x14ac:dyDescent="0.25">
      <c r="A2586" s="3" t="s">
        <v>8165</v>
      </c>
      <c r="B2586" s="4" t="s">
        <v>8211</v>
      </c>
      <c r="C2586" s="4" t="s">
        <v>25</v>
      </c>
      <c r="D2586" s="4" t="s">
        <v>26</v>
      </c>
      <c r="E2586" s="5" t="str">
        <f>"9230008"</f>
        <v>9230008</v>
      </c>
      <c r="F2586" s="3" t="s">
        <v>8241</v>
      </c>
      <c r="G2586" s="5">
        <v>2467307063</v>
      </c>
      <c r="H2586" s="4" t="s">
        <v>8242</v>
      </c>
      <c r="I2586" s="4" t="s">
        <v>8214</v>
      </c>
      <c r="J2586" s="4" t="s">
        <v>8214</v>
      </c>
      <c r="K2586" s="4" t="s">
        <v>8243</v>
      </c>
      <c r="L2586" s="5">
        <v>52100</v>
      </c>
    </row>
    <row r="2587" spans="1:12" x14ac:dyDescent="0.25">
      <c r="A2587" s="3" t="s">
        <v>8165</v>
      </c>
      <c r="B2587" s="4" t="s">
        <v>8211</v>
      </c>
      <c r="C2587" s="4" t="s">
        <v>25</v>
      </c>
      <c r="D2587" s="4" t="s">
        <v>821</v>
      </c>
      <c r="E2587" s="5" t="str">
        <f>"9230173"</f>
        <v>9230173</v>
      </c>
      <c r="F2587" s="3" t="s">
        <v>8244</v>
      </c>
      <c r="G2587" s="5">
        <v>2467081420</v>
      </c>
      <c r="H2587" s="4" t="s">
        <v>8245</v>
      </c>
      <c r="I2587" s="4" t="s">
        <v>8214</v>
      </c>
      <c r="J2587" s="4" t="s">
        <v>8214</v>
      </c>
      <c r="K2587" s="4" t="s">
        <v>8246</v>
      </c>
      <c r="L2587" s="5">
        <v>52100</v>
      </c>
    </row>
    <row r="2588" spans="1:12" x14ac:dyDescent="0.25">
      <c r="A2588" s="3" t="s">
        <v>8165</v>
      </c>
      <c r="B2588" s="4" t="s">
        <v>8211</v>
      </c>
      <c r="C2588" s="4" t="s">
        <v>14</v>
      </c>
      <c r="D2588" s="4" t="s">
        <v>15</v>
      </c>
      <c r="E2588" s="5" t="str">
        <f>"9230044"</f>
        <v>9230044</v>
      </c>
      <c r="F2588" s="3" t="s">
        <v>8247</v>
      </c>
      <c r="G2588" s="5">
        <v>2467073188</v>
      </c>
      <c r="H2588" s="4" t="s">
        <v>8248</v>
      </c>
      <c r="I2588" s="4" t="s">
        <v>8222</v>
      </c>
      <c r="J2588" s="4" t="s">
        <v>8249</v>
      </c>
      <c r="K2588" s="4" t="s">
        <v>8249</v>
      </c>
      <c r="L2588" s="5">
        <v>52200</v>
      </c>
    </row>
    <row r="2589" spans="1:12" x14ac:dyDescent="0.25">
      <c r="A2589" s="3" t="s">
        <v>8165</v>
      </c>
      <c r="B2589" s="4" t="s">
        <v>8211</v>
      </c>
      <c r="C2589" s="4" t="s">
        <v>14</v>
      </c>
      <c r="D2589" s="4" t="s">
        <v>15</v>
      </c>
      <c r="E2589" s="5" t="str">
        <f>"9230144"</f>
        <v>9230144</v>
      </c>
      <c r="F2589" s="3" t="s">
        <v>8250</v>
      </c>
      <c r="G2589" s="5">
        <v>2467307062</v>
      </c>
      <c r="H2589" s="4" t="s">
        <v>8251</v>
      </c>
      <c r="I2589" s="4" t="s">
        <v>8214</v>
      </c>
      <c r="J2589" s="4" t="s">
        <v>8215</v>
      </c>
      <c r="K2589" s="4" t="s">
        <v>8252</v>
      </c>
      <c r="L2589" s="5">
        <v>52100</v>
      </c>
    </row>
    <row r="2590" spans="1:12" x14ac:dyDescent="0.25">
      <c r="A2590" s="3" t="s">
        <v>8165</v>
      </c>
      <c r="B2590" s="4" t="s">
        <v>8211</v>
      </c>
      <c r="C2590" s="4" t="s">
        <v>25</v>
      </c>
      <c r="D2590" s="4" t="s">
        <v>26</v>
      </c>
      <c r="E2590" s="5" t="str">
        <f>"9230135"</f>
        <v>9230135</v>
      </c>
      <c r="F2590" s="3" t="s">
        <v>8253</v>
      </c>
      <c r="G2590" s="5">
        <v>2467307091</v>
      </c>
      <c r="H2590" s="4" t="s">
        <v>8254</v>
      </c>
      <c r="I2590" s="4" t="s">
        <v>8214</v>
      </c>
      <c r="J2590" s="4" t="s">
        <v>8255</v>
      </c>
      <c r="K2590" s="4" t="s">
        <v>8256</v>
      </c>
      <c r="L2590" s="5">
        <v>52100</v>
      </c>
    </row>
    <row r="2591" spans="1:12" x14ac:dyDescent="0.25">
      <c r="A2591" s="3" t="s">
        <v>8165</v>
      </c>
      <c r="B2591" s="4" t="s">
        <v>8211</v>
      </c>
      <c r="C2591" s="4" t="s">
        <v>25</v>
      </c>
      <c r="D2591" s="4" t="s">
        <v>26</v>
      </c>
      <c r="E2591" s="5" t="str">
        <f>"9230160"</f>
        <v>9230160</v>
      </c>
      <c r="F2591" s="3" t="s">
        <v>8257</v>
      </c>
      <c r="G2591" s="5">
        <v>2467081022</v>
      </c>
      <c r="H2591" s="4" t="s">
        <v>8258</v>
      </c>
      <c r="I2591" s="4" t="s">
        <v>8214</v>
      </c>
      <c r="J2591" s="4" t="s">
        <v>8255</v>
      </c>
      <c r="K2591" s="4" t="s">
        <v>8259</v>
      </c>
      <c r="L2591" s="5">
        <v>52100</v>
      </c>
    </row>
    <row r="2592" spans="1:12" x14ac:dyDescent="0.25">
      <c r="A2592" s="3" t="s">
        <v>8165</v>
      </c>
      <c r="B2592" s="4" t="s">
        <v>8211</v>
      </c>
      <c r="C2592" s="4" t="s">
        <v>25</v>
      </c>
      <c r="D2592" s="4" t="s">
        <v>26</v>
      </c>
      <c r="E2592" s="5" t="str">
        <f>"9230114"</f>
        <v>9230114</v>
      </c>
      <c r="F2592" s="3" t="s">
        <v>8260</v>
      </c>
      <c r="G2592" s="5">
        <v>2467307018</v>
      </c>
      <c r="H2592" s="4" t="s">
        <v>8261</v>
      </c>
      <c r="I2592" s="4" t="s">
        <v>8214</v>
      </c>
      <c r="J2592" s="4" t="s">
        <v>8262</v>
      </c>
      <c r="K2592" s="4" t="s">
        <v>8263</v>
      </c>
      <c r="L2592" s="5">
        <v>52050</v>
      </c>
    </row>
    <row r="2593" spans="1:12" x14ac:dyDescent="0.25">
      <c r="A2593" s="3" t="s">
        <v>8165</v>
      </c>
      <c r="B2593" s="4" t="s">
        <v>8211</v>
      </c>
      <c r="C2593" s="4" t="s">
        <v>14</v>
      </c>
      <c r="D2593" s="4" t="s">
        <v>15</v>
      </c>
      <c r="E2593" s="5" t="str">
        <f>"9230161"</f>
        <v>9230161</v>
      </c>
      <c r="F2593" s="3" t="s">
        <v>8264</v>
      </c>
      <c r="G2593" s="5">
        <v>2467307090</v>
      </c>
      <c r="H2593" s="4" t="s">
        <v>8265</v>
      </c>
      <c r="I2593" s="4" t="s">
        <v>8214</v>
      </c>
      <c r="J2593" s="4" t="s">
        <v>8266</v>
      </c>
      <c r="K2593" s="4" t="s">
        <v>8256</v>
      </c>
      <c r="L2593" s="5">
        <v>52100</v>
      </c>
    </row>
    <row r="2594" spans="1:12" x14ac:dyDescent="0.25">
      <c r="A2594" s="3" t="s">
        <v>8165</v>
      </c>
      <c r="B2594" s="4" t="s">
        <v>8211</v>
      </c>
      <c r="C2594" s="4" t="s">
        <v>14</v>
      </c>
      <c r="D2594" s="4" t="s">
        <v>15</v>
      </c>
      <c r="E2594" s="5" t="str">
        <f>"9230091"</f>
        <v>9230091</v>
      </c>
      <c r="F2594" s="3" t="s">
        <v>8267</v>
      </c>
      <c r="G2594" s="5">
        <v>2467307113</v>
      </c>
      <c r="H2594" s="4" t="s">
        <v>8268</v>
      </c>
      <c r="I2594" s="4" t="s">
        <v>8214</v>
      </c>
      <c r="J2594" s="4" t="s">
        <v>8269</v>
      </c>
      <c r="K2594" s="4" t="s">
        <v>8270</v>
      </c>
      <c r="L2594" s="5">
        <v>52100</v>
      </c>
    </row>
    <row r="2595" spans="1:12" x14ac:dyDescent="0.25">
      <c r="A2595" s="3" t="s">
        <v>8165</v>
      </c>
      <c r="B2595" s="4" t="s">
        <v>8211</v>
      </c>
      <c r="C2595" s="4" t="s">
        <v>14</v>
      </c>
      <c r="D2595" s="4" t="s">
        <v>15</v>
      </c>
      <c r="E2595" s="5" t="str">
        <f>"9230113"</f>
        <v>9230113</v>
      </c>
      <c r="F2595" s="3" t="s">
        <v>8271</v>
      </c>
      <c r="G2595" s="5">
        <v>2467307019</v>
      </c>
      <c r="H2595" s="4" t="s">
        <v>8272</v>
      </c>
      <c r="I2595" s="4" t="s">
        <v>8214</v>
      </c>
      <c r="J2595" s="4" t="s">
        <v>8263</v>
      </c>
      <c r="K2595" s="4" t="s">
        <v>8263</v>
      </c>
      <c r="L2595" s="5">
        <v>52050</v>
      </c>
    </row>
    <row r="2596" spans="1:12" x14ac:dyDescent="0.25">
      <c r="A2596" s="3" t="s">
        <v>8165</v>
      </c>
      <c r="B2596" s="4" t="s">
        <v>8211</v>
      </c>
      <c r="C2596" s="4" t="s">
        <v>14</v>
      </c>
      <c r="D2596" s="4" t="s">
        <v>15</v>
      </c>
      <c r="E2596" s="5" t="str">
        <f>"9230037"</f>
        <v>9230037</v>
      </c>
      <c r="F2596" s="3" t="s">
        <v>8273</v>
      </c>
      <c r="G2596" s="5">
        <v>2467307012</v>
      </c>
      <c r="H2596" s="4" t="s">
        <v>8274</v>
      </c>
      <c r="I2596" s="4" t="s">
        <v>8214</v>
      </c>
      <c r="J2596" s="4" t="s">
        <v>8275</v>
      </c>
      <c r="K2596" s="4" t="s">
        <v>8276</v>
      </c>
      <c r="L2596" s="5">
        <v>52057</v>
      </c>
    </row>
    <row r="2597" spans="1:12" x14ac:dyDescent="0.25">
      <c r="A2597" s="3" t="s">
        <v>8165</v>
      </c>
      <c r="B2597" s="4" t="s">
        <v>8211</v>
      </c>
      <c r="C2597" s="4" t="s">
        <v>14</v>
      </c>
      <c r="D2597" s="4" t="s">
        <v>15</v>
      </c>
      <c r="E2597" s="5" t="str">
        <f>"9230138"</f>
        <v>9230138</v>
      </c>
      <c r="F2597" s="3" t="s">
        <v>8277</v>
      </c>
      <c r="G2597" s="5">
        <v>2467071557</v>
      </c>
      <c r="H2597" s="4" t="s">
        <v>8278</v>
      </c>
      <c r="I2597" s="4" t="s">
        <v>8214</v>
      </c>
      <c r="J2597" s="4" t="s">
        <v>8279</v>
      </c>
      <c r="K2597" s="4" t="s">
        <v>8279</v>
      </c>
      <c r="L2597" s="5">
        <v>52200</v>
      </c>
    </row>
    <row r="2598" spans="1:12" x14ac:dyDescent="0.25">
      <c r="A2598" s="3" t="s">
        <v>8165</v>
      </c>
      <c r="B2598" s="4" t="s">
        <v>8211</v>
      </c>
      <c r="C2598" s="4" t="s">
        <v>14</v>
      </c>
      <c r="D2598" s="4" t="s">
        <v>15</v>
      </c>
      <c r="E2598" s="5" t="str">
        <f>"9230012"</f>
        <v>9230012</v>
      </c>
      <c r="F2598" s="3" t="s">
        <v>8280</v>
      </c>
      <c r="G2598" s="5">
        <v>2467022638</v>
      </c>
      <c r="H2598" s="4" t="s">
        <v>8281</v>
      </c>
      <c r="I2598" s="4" t="s">
        <v>8214</v>
      </c>
      <c r="J2598" s="4" t="s">
        <v>8215</v>
      </c>
      <c r="K2598" s="4" t="s">
        <v>8282</v>
      </c>
      <c r="L2598" s="5">
        <v>52100</v>
      </c>
    </row>
    <row r="2599" spans="1:12" ht="30" x14ac:dyDescent="0.25">
      <c r="A2599" s="3" t="s">
        <v>8165</v>
      </c>
      <c r="B2599" s="4" t="s">
        <v>8211</v>
      </c>
      <c r="C2599" s="4" t="s">
        <v>14</v>
      </c>
      <c r="D2599" s="4" t="s">
        <v>15</v>
      </c>
      <c r="E2599" s="5" t="str">
        <f>"9230014"</f>
        <v>9230014</v>
      </c>
      <c r="F2599" s="3" t="s">
        <v>8283</v>
      </c>
      <c r="G2599" s="5">
        <v>2467022384</v>
      </c>
      <c r="H2599" s="4" t="s">
        <v>8284</v>
      </c>
      <c r="I2599" s="4" t="s">
        <v>8214</v>
      </c>
      <c r="J2599" s="4" t="s">
        <v>8215</v>
      </c>
      <c r="K2599" s="4" t="s">
        <v>8219</v>
      </c>
      <c r="L2599" s="5">
        <v>52100</v>
      </c>
    </row>
    <row r="2600" spans="1:12" x14ac:dyDescent="0.25">
      <c r="A2600" s="3" t="s">
        <v>8165</v>
      </c>
      <c r="B2600" s="4" t="s">
        <v>8211</v>
      </c>
      <c r="C2600" s="4" t="s">
        <v>14</v>
      </c>
      <c r="D2600" s="4" t="s">
        <v>15</v>
      </c>
      <c r="E2600" s="5" t="str">
        <f>"9230015"</f>
        <v>9230015</v>
      </c>
      <c r="F2600" s="3" t="s">
        <v>8285</v>
      </c>
      <c r="G2600" s="5">
        <v>2467027364</v>
      </c>
      <c r="H2600" s="4" t="s">
        <v>8286</v>
      </c>
      <c r="I2600" s="4" t="s">
        <v>8214</v>
      </c>
      <c r="J2600" s="4" t="s">
        <v>8215</v>
      </c>
      <c r="K2600" s="4" t="s">
        <v>8287</v>
      </c>
      <c r="L2600" s="5">
        <v>52100</v>
      </c>
    </row>
    <row r="2601" spans="1:12" x14ac:dyDescent="0.25">
      <c r="A2601" s="3" t="s">
        <v>8165</v>
      </c>
      <c r="B2601" s="4" t="s">
        <v>8211</v>
      </c>
      <c r="C2601" s="4" t="s">
        <v>14</v>
      </c>
      <c r="D2601" s="4" t="s">
        <v>15</v>
      </c>
      <c r="E2601" s="5" t="str">
        <f>"9230016"</f>
        <v>9230016</v>
      </c>
      <c r="F2601" s="3" t="s">
        <v>8288</v>
      </c>
      <c r="G2601" s="5">
        <v>2467082424</v>
      </c>
      <c r="H2601" s="4" t="s">
        <v>8289</v>
      </c>
      <c r="I2601" s="4" t="s">
        <v>8214</v>
      </c>
      <c r="J2601" s="4" t="s">
        <v>8215</v>
      </c>
      <c r="K2601" s="4" t="s">
        <v>8290</v>
      </c>
      <c r="L2601" s="5">
        <v>52100</v>
      </c>
    </row>
    <row r="2602" spans="1:12" x14ac:dyDescent="0.25">
      <c r="A2602" s="3" t="s">
        <v>8165</v>
      </c>
      <c r="B2602" s="4" t="s">
        <v>8211</v>
      </c>
      <c r="C2602" s="4" t="s">
        <v>14</v>
      </c>
      <c r="D2602" s="4" t="s">
        <v>15</v>
      </c>
      <c r="E2602" s="5" t="str">
        <f>"9230017"</f>
        <v>9230017</v>
      </c>
      <c r="F2602" s="3" t="s">
        <v>8291</v>
      </c>
      <c r="G2602" s="5">
        <v>2467307006</v>
      </c>
      <c r="H2602" s="4" t="s">
        <v>8292</v>
      </c>
      <c r="I2602" s="4" t="s">
        <v>8214</v>
      </c>
      <c r="J2602" s="4" t="s">
        <v>8215</v>
      </c>
      <c r="K2602" s="4" t="s">
        <v>8293</v>
      </c>
      <c r="L2602" s="5">
        <v>52100</v>
      </c>
    </row>
    <row r="2603" spans="1:12" x14ac:dyDescent="0.25">
      <c r="A2603" s="3" t="s">
        <v>8165</v>
      </c>
      <c r="B2603" s="4" t="s">
        <v>8211</v>
      </c>
      <c r="C2603" s="4" t="s">
        <v>14</v>
      </c>
      <c r="D2603" s="4" t="s">
        <v>15</v>
      </c>
      <c r="E2603" s="5" t="str">
        <f>"9230041"</f>
        <v>9230041</v>
      </c>
      <c r="F2603" s="3" t="s">
        <v>8294</v>
      </c>
      <c r="G2603" s="5">
        <v>2467307075</v>
      </c>
      <c r="H2603" s="4" t="s">
        <v>8295</v>
      </c>
      <c r="I2603" s="4" t="s">
        <v>8214</v>
      </c>
      <c r="J2603" s="4" t="s">
        <v>8296</v>
      </c>
      <c r="K2603" s="4" t="s">
        <v>8296</v>
      </c>
      <c r="L2603" s="5">
        <v>52052</v>
      </c>
    </row>
    <row r="2604" spans="1:12" ht="30" x14ac:dyDescent="0.25">
      <c r="A2604" s="3" t="s">
        <v>8165</v>
      </c>
      <c r="B2604" s="4" t="s">
        <v>8211</v>
      </c>
      <c r="C2604" s="4" t="s">
        <v>14</v>
      </c>
      <c r="D2604" s="4" t="s">
        <v>15</v>
      </c>
      <c r="E2604" s="5" t="str">
        <f>"9230052"</f>
        <v>9230052</v>
      </c>
      <c r="F2604" s="3" t="s">
        <v>8297</v>
      </c>
      <c r="G2604" s="5">
        <v>2467307049</v>
      </c>
      <c r="H2604" s="4" t="s">
        <v>8298</v>
      </c>
      <c r="I2604" s="4" t="s">
        <v>8214</v>
      </c>
      <c r="J2604" s="4" t="s">
        <v>8299</v>
      </c>
      <c r="K2604" s="4" t="s">
        <v>8300</v>
      </c>
      <c r="L2604" s="5">
        <v>52056</v>
      </c>
    </row>
    <row r="2605" spans="1:12" x14ac:dyDescent="0.25">
      <c r="A2605" s="3" t="s">
        <v>8165</v>
      </c>
      <c r="B2605" s="4" t="s">
        <v>8211</v>
      </c>
      <c r="C2605" s="4" t="s">
        <v>14</v>
      </c>
      <c r="D2605" s="4" t="s">
        <v>15</v>
      </c>
      <c r="E2605" s="5" t="str">
        <f>"9230003"</f>
        <v>9230003</v>
      </c>
      <c r="F2605" s="3" t="s">
        <v>8301</v>
      </c>
      <c r="G2605" s="5">
        <v>2467042263</v>
      </c>
      <c r="H2605" s="4" t="s">
        <v>8302</v>
      </c>
      <c r="I2605" s="4" t="s">
        <v>8222</v>
      </c>
      <c r="J2605" s="4" t="s">
        <v>8223</v>
      </c>
      <c r="K2605" s="4" t="s">
        <v>8303</v>
      </c>
      <c r="L2605" s="5">
        <v>52200</v>
      </c>
    </row>
    <row r="2606" spans="1:12" x14ac:dyDescent="0.25">
      <c r="A2606" s="3" t="s">
        <v>8165</v>
      </c>
      <c r="B2606" s="4" t="s">
        <v>8211</v>
      </c>
      <c r="C2606" s="4" t="s">
        <v>14</v>
      </c>
      <c r="D2606" s="4" t="s">
        <v>15</v>
      </c>
      <c r="E2606" s="5" t="str">
        <f>"9230004"</f>
        <v>9230004</v>
      </c>
      <c r="F2606" s="3" t="s">
        <v>8304</v>
      </c>
      <c r="G2606" s="5">
        <v>2467307007</v>
      </c>
      <c r="H2606" s="4" t="s">
        <v>8305</v>
      </c>
      <c r="I2606" s="4" t="s">
        <v>8222</v>
      </c>
      <c r="J2606" s="4" t="s">
        <v>8306</v>
      </c>
      <c r="K2606" s="4" t="s">
        <v>8307</v>
      </c>
      <c r="L2606" s="5">
        <v>52200</v>
      </c>
    </row>
    <row r="2607" spans="1:12" x14ac:dyDescent="0.25">
      <c r="A2607" s="3" t="s">
        <v>8165</v>
      </c>
      <c r="B2607" s="4" t="s">
        <v>8211</v>
      </c>
      <c r="C2607" s="4" t="s">
        <v>14</v>
      </c>
      <c r="D2607" s="4" t="s">
        <v>15</v>
      </c>
      <c r="E2607" s="5" t="str">
        <f>"9230166"</f>
        <v>9230166</v>
      </c>
      <c r="F2607" s="3" t="s">
        <v>8308</v>
      </c>
      <c r="G2607" s="5">
        <v>2467043226</v>
      </c>
      <c r="H2607" s="4" t="s">
        <v>8309</v>
      </c>
      <c r="I2607" s="4" t="s">
        <v>8222</v>
      </c>
      <c r="J2607" s="4" t="s">
        <v>8306</v>
      </c>
      <c r="K2607" s="4" t="s">
        <v>8310</v>
      </c>
      <c r="L2607" s="5">
        <v>52200</v>
      </c>
    </row>
    <row r="2608" spans="1:12" x14ac:dyDescent="0.25">
      <c r="A2608" s="3" t="s">
        <v>8165</v>
      </c>
      <c r="B2608" s="4" t="s">
        <v>8211</v>
      </c>
      <c r="C2608" s="4" t="s">
        <v>14</v>
      </c>
      <c r="D2608" s="4" t="s">
        <v>15</v>
      </c>
      <c r="E2608" s="5" t="str">
        <f>"9230146"</f>
        <v>9230146</v>
      </c>
      <c r="F2608" s="3" t="s">
        <v>8311</v>
      </c>
      <c r="G2608" s="5">
        <v>2467042056</v>
      </c>
      <c r="H2608" s="4" t="s">
        <v>8312</v>
      </c>
      <c r="I2608" s="4" t="s">
        <v>8222</v>
      </c>
      <c r="J2608" s="4" t="s">
        <v>8236</v>
      </c>
      <c r="K2608" s="4" t="s">
        <v>8313</v>
      </c>
      <c r="L2608" s="5">
        <v>52200</v>
      </c>
    </row>
    <row r="2609" spans="1:12" x14ac:dyDescent="0.25">
      <c r="A2609" s="3" t="s">
        <v>8165</v>
      </c>
      <c r="B2609" s="4" t="s">
        <v>8211</v>
      </c>
      <c r="C2609" s="4" t="s">
        <v>25</v>
      </c>
      <c r="D2609" s="4" t="s">
        <v>26</v>
      </c>
      <c r="E2609" s="5" t="str">
        <f>"9230180"</f>
        <v>9230180</v>
      </c>
      <c r="F2609" s="3" t="s">
        <v>8314</v>
      </c>
      <c r="G2609" s="5">
        <v>2467028051</v>
      </c>
      <c r="H2609" s="4" t="s">
        <v>8315</v>
      </c>
      <c r="I2609" s="4" t="s">
        <v>8214</v>
      </c>
      <c r="J2609" s="4" t="s">
        <v>8214</v>
      </c>
      <c r="K2609" s="4" t="s">
        <v>8316</v>
      </c>
      <c r="L2609" s="5">
        <v>52100</v>
      </c>
    </row>
    <row r="2610" spans="1:12" x14ac:dyDescent="0.25">
      <c r="A2610" s="3" t="s">
        <v>8165</v>
      </c>
      <c r="B2610" s="4" t="s">
        <v>8211</v>
      </c>
      <c r="C2610" s="4" t="s">
        <v>14</v>
      </c>
      <c r="D2610" s="4" t="s">
        <v>830</v>
      </c>
      <c r="E2610" s="5" t="str">
        <f>"9521704"</f>
        <v>9521704</v>
      </c>
      <c r="F2610" s="3" t="s">
        <v>8317</v>
      </c>
      <c r="G2610" s="5">
        <v>2467307001</v>
      </c>
      <c r="H2610" s="4" t="s">
        <v>8318</v>
      </c>
      <c r="I2610" s="4" t="s">
        <v>8214</v>
      </c>
      <c r="J2610" s="4" t="s">
        <v>8215</v>
      </c>
      <c r="K2610" s="4" t="s">
        <v>8319</v>
      </c>
      <c r="L2610" s="5">
        <v>52100</v>
      </c>
    </row>
    <row r="2611" spans="1:12" x14ac:dyDescent="0.25">
      <c r="A2611" s="3" t="s">
        <v>8165</v>
      </c>
      <c r="B2611" s="4" t="s">
        <v>8320</v>
      </c>
      <c r="C2611" s="4" t="s">
        <v>14</v>
      </c>
      <c r="D2611" s="4" t="s">
        <v>15</v>
      </c>
      <c r="E2611" s="5" t="str">
        <f>"9270167"</f>
        <v>9270167</v>
      </c>
      <c r="F2611" s="3" t="s">
        <v>8321</v>
      </c>
      <c r="G2611" s="5">
        <v>2461022771</v>
      </c>
      <c r="H2611" s="4" t="s">
        <v>8322</v>
      </c>
      <c r="I2611" s="4" t="s">
        <v>8323</v>
      </c>
      <c r="J2611" s="4" t="s">
        <v>8324</v>
      </c>
      <c r="K2611" s="4" t="s">
        <v>8325</v>
      </c>
      <c r="L2611" s="5">
        <v>50131</v>
      </c>
    </row>
    <row r="2612" spans="1:12" x14ac:dyDescent="0.25">
      <c r="A2612" s="3" t="s">
        <v>8165</v>
      </c>
      <c r="B2612" s="4" t="s">
        <v>8320</v>
      </c>
      <c r="C2612" s="4" t="s">
        <v>25</v>
      </c>
      <c r="D2612" s="4" t="s">
        <v>26</v>
      </c>
      <c r="E2612" s="5" t="str">
        <f>"9270365"</f>
        <v>9270365</v>
      </c>
      <c r="F2612" s="3" t="s">
        <v>8326</v>
      </c>
      <c r="G2612" s="5">
        <v>2461028596</v>
      </c>
      <c r="H2612" s="4" t="s">
        <v>8327</v>
      </c>
      <c r="I2612" s="4" t="s">
        <v>8323</v>
      </c>
      <c r="J2612" s="4" t="s">
        <v>8328</v>
      </c>
      <c r="K2612" s="4" t="s">
        <v>8329</v>
      </c>
      <c r="L2612" s="5">
        <v>50132</v>
      </c>
    </row>
    <row r="2613" spans="1:12" x14ac:dyDescent="0.25">
      <c r="A2613" s="3" t="s">
        <v>8165</v>
      </c>
      <c r="B2613" s="4" t="s">
        <v>8320</v>
      </c>
      <c r="C2613" s="4" t="s">
        <v>25</v>
      </c>
      <c r="D2613" s="4" t="s">
        <v>26</v>
      </c>
      <c r="E2613" s="5" t="str">
        <f>"9270089"</f>
        <v>9270089</v>
      </c>
      <c r="F2613" s="3" t="s">
        <v>8330</v>
      </c>
      <c r="G2613" s="5">
        <v>2463054721</v>
      </c>
      <c r="H2613" s="4" t="s">
        <v>8331</v>
      </c>
      <c r="I2613" s="4" t="s">
        <v>8332</v>
      </c>
      <c r="J2613" s="4" t="s">
        <v>8333</v>
      </c>
      <c r="K2613" s="4" t="s">
        <v>8334</v>
      </c>
      <c r="L2613" s="5">
        <v>50200</v>
      </c>
    </row>
    <row r="2614" spans="1:12" x14ac:dyDescent="0.25">
      <c r="A2614" s="3" t="s">
        <v>8165</v>
      </c>
      <c r="B2614" s="4" t="s">
        <v>8320</v>
      </c>
      <c r="C2614" s="4" t="s">
        <v>25</v>
      </c>
      <c r="D2614" s="4" t="s">
        <v>26</v>
      </c>
      <c r="E2614" s="5" t="str">
        <f>"9270090"</f>
        <v>9270090</v>
      </c>
      <c r="F2614" s="3" t="s">
        <v>8335</v>
      </c>
      <c r="G2614" s="5">
        <v>2463027727</v>
      </c>
      <c r="H2614" s="4" t="s">
        <v>8336</v>
      </c>
      <c r="I2614" s="4" t="s">
        <v>8332</v>
      </c>
      <c r="J2614" s="4" t="s">
        <v>8337</v>
      </c>
      <c r="K2614" s="4" t="s">
        <v>8338</v>
      </c>
      <c r="L2614" s="5">
        <v>50200</v>
      </c>
    </row>
    <row r="2615" spans="1:12" x14ac:dyDescent="0.25">
      <c r="A2615" s="3" t="s">
        <v>8165</v>
      </c>
      <c r="B2615" s="4" t="s">
        <v>8320</v>
      </c>
      <c r="C2615" s="4" t="s">
        <v>25</v>
      </c>
      <c r="D2615" s="4" t="s">
        <v>26</v>
      </c>
      <c r="E2615" s="5" t="str">
        <f>"9270135"</f>
        <v>9270135</v>
      </c>
      <c r="F2615" s="3" t="s">
        <v>8339</v>
      </c>
      <c r="G2615" s="5">
        <v>2463077333</v>
      </c>
      <c r="H2615" s="4" t="s">
        <v>8340</v>
      </c>
      <c r="I2615" s="4" t="s">
        <v>8332</v>
      </c>
      <c r="J2615" s="4" t="s">
        <v>8341</v>
      </c>
      <c r="K2615" s="4" t="s">
        <v>8342</v>
      </c>
      <c r="L2615" s="5">
        <v>50200</v>
      </c>
    </row>
    <row r="2616" spans="1:12" x14ac:dyDescent="0.25">
      <c r="A2616" s="3" t="s">
        <v>8165</v>
      </c>
      <c r="B2616" s="4" t="s">
        <v>8320</v>
      </c>
      <c r="C2616" s="4" t="s">
        <v>14</v>
      </c>
      <c r="D2616" s="4" t="s">
        <v>15</v>
      </c>
      <c r="E2616" s="5" t="str">
        <f>"9270229"</f>
        <v>9270229</v>
      </c>
      <c r="F2616" s="3" t="s">
        <v>8343</v>
      </c>
      <c r="G2616" s="5">
        <v>2464031445</v>
      </c>
      <c r="H2616" s="4" t="s">
        <v>8344</v>
      </c>
      <c r="I2616" s="4" t="s">
        <v>8345</v>
      </c>
      <c r="J2616" s="4" t="s">
        <v>8346</v>
      </c>
      <c r="K2616" s="4" t="s">
        <v>54</v>
      </c>
      <c r="L2616" s="5">
        <v>50400</v>
      </c>
    </row>
    <row r="2617" spans="1:12" x14ac:dyDescent="0.25">
      <c r="A2617" s="3" t="s">
        <v>8165</v>
      </c>
      <c r="B2617" s="4" t="s">
        <v>8320</v>
      </c>
      <c r="C2617" s="4" t="s">
        <v>14</v>
      </c>
      <c r="D2617" s="4" t="s">
        <v>15</v>
      </c>
      <c r="E2617" s="5" t="str">
        <f>"9270003"</f>
        <v>9270003</v>
      </c>
      <c r="F2617" s="3" t="s">
        <v>8347</v>
      </c>
      <c r="G2617" s="5">
        <v>2465021255</v>
      </c>
      <c r="H2617" s="4" t="s">
        <v>8348</v>
      </c>
      <c r="I2617" s="4" t="s">
        <v>8349</v>
      </c>
      <c r="J2617" s="4" t="s">
        <v>8350</v>
      </c>
      <c r="K2617" s="4" t="s">
        <v>8351</v>
      </c>
      <c r="L2617" s="5">
        <v>50300</v>
      </c>
    </row>
    <row r="2618" spans="1:12" x14ac:dyDescent="0.25">
      <c r="A2618" s="3" t="s">
        <v>8165</v>
      </c>
      <c r="B2618" s="4" t="s">
        <v>8320</v>
      </c>
      <c r="C2618" s="4" t="s">
        <v>14</v>
      </c>
      <c r="D2618" s="4" t="s">
        <v>15</v>
      </c>
      <c r="E2618" s="5" t="str">
        <f>"9270218"</f>
        <v>9270218</v>
      </c>
      <c r="F2618" s="3" t="s">
        <v>8352</v>
      </c>
      <c r="G2618" s="5">
        <v>2461034828</v>
      </c>
      <c r="H2618" s="4" t="s">
        <v>8353</v>
      </c>
      <c r="I2618" s="4" t="s">
        <v>8323</v>
      </c>
      <c r="J2618" s="4" t="s">
        <v>8328</v>
      </c>
      <c r="K2618" s="4" t="s">
        <v>8354</v>
      </c>
      <c r="L2618" s="5">
        <v>50132</v>
      </c>
    </row>
    <row r="2619" spans="1:12" x14ac:dyDescent="0.25">
      <c r="A2619" s="3" t="s">
        <v>8165</v>
      </c>
      <c r="B2619" s="4" t="s">
        <v>8320</v>
      </c>
      <c r="C2619" s="4" t="s">
        <v>14</v>
      </c>
      <c r="D2619" s="4" t="s">
        <v>15</v>
      </c>
      <c r="E2619" s="5" t="str">
        <f>"9270375"</f>
        <v>9270375</v>
      </c>
      <c r="F2619" s="3" t="s">
        <v>8355</v>
      </c>
      <c r="G2619" s="5">
        <v>2461032397</v>
      </c>
      <c r="H2619" s="4" t="s">
        <v>8356</v>
      </c>
      <c r="I2619" s="4" t="s">
        <v>8323</v>
      </c>
      <c r="J2619" s="4" t="s">
        <v>8328</v>
      </c>
      <c r="K2619" s="4" t="s">
        <v>8357</v>
      </c>
      <c r="L2619" s="5">
        <v>50132</v>
      </c>
    </row>
    <row r="2620" spans="1:12" x14ac:dyDescent="0.25">
      <c r="A2620" s="3" t="s">
        <v>8165</v>
      </c>
      <c r="B2620" s="4" t="s">
        <v>8320</v>
      </c>
      <c r="C2620" s="4" t="s">
        <v>14</v>
      </c>
      <c r="D2620" s="4" t="s">
        <v>15</v>
      </c>
      <c r="E2620" s="5" t="str">
        <f>"9270385"</f>
        <v>9270385</v>
      </c>
      <c r="F2620" s="3" t="s">
        <v>8358</v>
      </c>
      <c r="G2620" s="5">
        <v>2461092323</v>
      </c>
      <c r="H2620" s="4" t="s">
        <v>8359</v>
      </c>
      <c r="I2620" s="4" t="s">
        <v>8323</v>
      </c>
      <c r="J2620" s="4" t="s">
        <v>8360</v>
      </c>
      <c r="K2620" s="4" t="s">
        <v>8361</v>
      </c>
      <c r="L2620" s="5">
        <v>50100</v>
      </c>
    </row>
    <row r="2621" spans="1:12" x14ac:dyDescent="0.25">
      <c r="A2621" s="3" t="s">
        <v>8165</v>
      </c>
      <c r="B2621" s="4" t="s">
        <v>8320</v>
      </c>
      <c r="C2621" s="4" t="s">
        <v>14</v>
      </c>
      <c r="D2621" s="4" t="s">
        <v>15</v>
      </c>
      <c r="E2621" s="5" t="str">
        <f>"9270198"</f>
        <v>9270198</v>
      </c>
      <c r="F2621" s="3" t="s">
        <v>8362</v>
      </c>
      <c r="G2621" s="5">
        <v>2461099551</v>
      </c>
      <c r="H2621" s="4" t="s">
        <v>8363</v>
      </c>
      <c r="I2621" s="4" t="s">
        <v>8323</v>
      </c>
      <c r="J2621" s="4" t="s">
        <v>8364</v>
      </c>
      <c r="K2621" s="4" t="s">
        <v>8328</v>
      </c>
      <c r="L2621" s="5">
        <v>50100</v>
      </c>
    </row>
    <row r="2622" spans="1:12" x14ac:dyDescent="0.25">
      <c r="A2622" s="3" t="s">
        <v>8165</v>
      </c>
      <c r="B2622" s="4" t="s">
        <v>8320</v>
      </c>
      <c r="C2622" s="4" t="s">
        <v>14</v>
      </c>
      <c r="D2622" s="4" t="s">
        <v>15</v>
      </c>
      <c r="E2622" s="5" t="str">
        <f>"9270182"</f>
        <v>9270182</v>
      </c>
      <c r="F2622" s="3" t="s">
        <v>8365</v>
      </c>
      <c r="G2622" s="5">
        <v>2461092221</v>
      </c>
      <c r="H2622" s="4" t="s">
        <v>8366</v>
      </c>
      <c r="I2622" s="4" t="s">
        <v>8323</v>
      </c>
      <c r="J2622" s="4" t="s">
        <v>8367</v>
      </c>
      <c r="K2622" s="4" t="s">
        <v>8367</v>
      </c>
      <c r="L2622" s="5">
        <v>50100</v>
      </c>
    </row>
    <row r="2623" spans="1:12" x14ac:dyDescent="0.25">
      <c r="A2623" s="3" t="s">
        <v>8165</v>
      </c>
      <c r="B2623" s="4" t="s">
        <v>8320</v>
      </c>
      <c r="C2623" s="4" t="s">
        <v>14</v>
      </c>
      <c r="D2623" s="4" t="s">
        <v>15</v>
      </c>
      <c r="E2623" s="5" t="str">
        <f>"9270221"</f>
        <v>9270221</v>
      </c>
      <c r="F2623" s="3" t="s">
        <v>8368</v>
      </c>
      <c r="G2623" s="5">
        <v>2461022640</v>
      </c>
      <c r="H2623" s="4" t="s">
        <v>8369</v>
      </c>
      <c r="I2623" s="4" t="s">
        <v>8323</v>
      </c>
      <c r="J2623" s="4" t="s">
        <v>8328</v>
      </c>
      <c r="K2623" s="4" t="s">
        <v>8370</v>
      </c>
      <c r="L2623" s="5">
        <v>50100</v>
      </c>
    </row>
    <row r="2624" spans="1:12" x14ac:dyDescent="0.25">
      <c r="A2624" s="3" t="s">
        <v>8165</v>
      </c>
      <c r="B2624" s="4" t="s">
        <v>8320</v>
      </c>
      <c r="C2624" s="4" t="s">
        <v>14</v>
      </c>
      <c r="D2624" s="4" t="s">
        <v>15</v>
      </c>
      <c r="E2624" s="5" t="str">
        <f>"9270215"</f>
        <v>9270215</v>
      </c>
      <c r="F2624" s="3" t="s">
        <v>8371</v>
      </c>
      <c r="G2624" s="5">
        <v>2461034892</v>
      </c>
      <c r="H2624" s="4" t="s">
        <v>8372</v>
      </c>
      <c r="I2624" s="4" t="s">
        <v>8323</v>
      </c>
      <c r="J2624" s="4" t="s">
        <v>8328</v>
      </c>
      <c r="K2624" s="4" t="s">
        <v>8373</v>
      </c>
      <c r="L2624" s="5">
        <v>50100</v>
      </c>
    </row>
    <row r="2625" spans="1:12" x14ac:dyDescent="0.25">
      <c r="A2625" s="3" t="s">
        <v>8165</v>
      </c>
      <c r="B2625" s="4" t="s">
        <v>8320</v>
      </c>
      <c r="C2625" s="4" t="s">
        <v>14</v>
      </c>
      <c r="D2625" s="4" t="s">
        <v>15</v>
      </c>
      <c r="E2625" s="5" t="str">
        <f>"9270263"</f>
        <v>9270263</v>
      </c>
      <c r="F2625" s="3" t="s">
        <v>8374</v>
      </c>
      <c r="G2625" s="5">
        <v>2464302010</v>
      </c>
      <c r="H2625" s="4" t="s">
        <v>8375</v>
      </c>
      <c r="I2625" s="4" t="s">
        <v>8376</v>
      </c>
      <c r="J2625" s="4" t="s">
        <v>8377</v>
      </c>
      <c r="K2625" s="4" t="s">
        <v>8378</v>
      </c>
      <c r="L2625" s="5">
        <v>50500</v>
      </c>
    </row>
    <row r="2626" spans="1:12" x14ac:dyDescent="0.25">
      <c r="A2626" s="3" t="s">
        <v>8165</v>
      </c>
      <c r="B2626" s="4" t="s">
        <v>8320</v>
      </c>
      <c r="C2626" s="4" t="s">
        <v>14</v>
      </c>
      <c r="D2626" s="4" t="s">
        <v>15</v>
      </c>
      <c r="E2626" s="5" t="str">
        <f>"9270022"</f>
        <v>9270022</v>
      </c>
      <c r="F2626" s="3" t="s">
        <v>8379</v>
      </c>
      <c r="G2626" s="5">
        <v>2465041204</v>
      </c>
      <c r="H2626" s="4" t="s">
        <v>8380</v>
      </c>
      <c r="I2626" s="4" t="s">
        <v>8349</v>
      </c>
      <c r="J2626" s="4" t="s">
        <v>8381</v>
      </c>
      <c r="K2626" s="4" t="s">
        <v>8382</v>
      </c>
      <c r="L2626" s="5">
        <v>50300</v>
      </c>
    </row>
    <row r="2627" spans="1:12" x14ac:dyDescent="0.25">
      <c r="A2627" s="3" t="s">
        <v>8165</v>
      </c>
      <c r="B2627" s="4" t="s">
        <v>8320</v>
      </c>
      <c r="C2627" s="4" t="s">
        <v>14</v>
      </c>
      <c r="D2627" s="4" t="s">
        <v>15</v>
      </c>
      <c r="E2627" s="5" t="str">
        <f>"9270145"</f>
        <v>9270145</v>
      </c>
      <c r="F2627" s="3" t="s">
        <v>8383</v>
      </c>
      <c r="G2627" s="5">
        <v>2463061423</v>
      </c>
      <c r="H2627" s="4" t="s">
        <v>8384</v>
      </c>
      <c r="I2627" s="4" t="s">
        <v>8332</v>
      </c>
      <c r="J2627" s="4" t="s">
        <v>8385</v>
      </c>
      <c r="K2627" s="4" t="s">
        <v>8386</v>
      </c>
      <c r="L2627" s="5">
        <v>50005</v>
      </c>
    </row>
    <row r="2628" spans="1:12" x14ac:dyDescent="0.25">
      <c r="A2628" s="3" t="s">
        <v>8165</v>
      </c>
      <c r="B2628" s="4" t="s">
        <v>8320</v>
      </c>
      <c r="C2628" s="4" t="s">
        <v>14</v>
      </c>
      <c r="D2628" s="4" t="s">
        <v>15</v>
      </c>
      <c r="E2628" s="5" t="str">
        <f>"9270162"</f>
        <v>9270162</v>
      </c>
      <c r="F2628" s="3" t="s">
        <v>8387</v>
      </c>
      <c r="G2628" s="5">
        <v>2461034696</v>
      </c>
      <c r="H2628" s="4" t="s">
        <v>8388</v>
      </c>
      <c r="I2628" s="4" t="s">
        <v>8323</v>
      </c>
      <c r="J2628" s="4" t="s">
        <v>8328</v>
      </c>
      <c r="K2628" s="4" t="s">
        <v>8389</v>
      </c>
      <c r="L2628" s="5">
        <v>50100</v>
      </c>
    </row>
    <row r="2629" spans="1:12" x14ac:dyDescent="0.25">
      <c r="A2629" s="3" t="s">
        <v>8165</v>
      </c>
      <c r="B2629" s="4" t="s">
        <v>8320</v>
      </c>
      <c r="C2629" s="4" t="s">
        <v>14</v>
      </c>
      <c r="D2629" s="4" t="s">
        <v>15</v>
      </c>
      <c r="E2629" s="5" t="str">
        <f>"9270071"</f>
        <v>9270071</v>
      </c>
      <c r="F2629" s="3" t="s">
        <v>8390</v>
      </c>
      <c r="G2629" s="5">
        <v>2468032167</v>
      </c>
      <c r="H2629" s="4" t="s">
        <v>8391</v>
      </c>
      <c r="I2629" s="4" t="s">
        <v>8349</v>
      </c>
      <c r="J2629" s="4" t="s">
        <v>8392</v>
      </c>
      <c r="K2629" s="4" t="s">
        <v>5968</v>
      </c>
      <c r="L2629" s="5">
        <v>50002</v>
      </c>
    </row>
    <row r="2630" spans="1:12" x14ac:dyDescent="0.25">
      <c r="A2630" s="3" t="s">
        <v>8165</v>
      </c>
      <c r="B2630" s="4" t="s">
        <v>8320</v>
      </c>
      <c r="C2630" s="4" t="s">
        <v>14</v>
      </c>
      <c r="D2630" s="4" t="s">
        <v>15</v>
      </c>
      <c r="E2630" s="5" t="str">
        <f>"9270264"</f>
        <v>9270264</v>
      </c>
      <c r="F2630" s="3" t="s">
        <v>8393</v>
      </c>
      <c r="G2630" s="5">
        <v>2464021497</v>
      </c>
      <c r="H2630" s="4" t="s">
        <v>8394</v>
      </c>
      <c r="I2630" s="4" t="s">
        <v>8376</v>
      </c>
      <c r="J2630" s="4" t="s">
        <v>8395</v>
      </c>
      <c r="K2630" s="4" t="s">
        <v>8396</v>
      </c>
      <c r="L2630" s="5">
        <v>50500</v>
      </c>
    </row>
    <row r="2631" spans="1:12" x14ac:dyDescent="0.25">
      <c r="A2631" s="3" t="s">
        <v>8165</v>
      </c>
      <c r="B2631" s="4" t="s">
        <v>8320</v>
      </c>
      <c r="C2631" s="4" t="s">
        <v>14</v>
      </c>
      <c r="D2631" s="4" t="s">
        <v>15</v>
      </c>
      <c r="E2631" s="5" t="str">
        <f>"9270220"</f>
        <v>9270220</v>
      </c>
      <c r="F2631" s="3" t="s">
        <v>8397</v>
      </c>
      <c r="G2631" s="5">
        <v>2461022868</v>
      </c>
      <c r="H2631" s="4" t="s">
        <v>8398</v>
      </c>
      <c r="I2631" s="4" t="s">
        <v>8323</v>
      </c>
      <c r="J2631" s="4" t="s">
        <v>8328</v>
      </c>
      <c r="K2631" s="4" t="s">
        <v>8399</v>
      </c>
      <c r="L2631" s="5">
        <v>50100</v>
      </c>
    </row>
    <row r="2632" spans="1:12" x14ac:dyDescent="0.25">
      <c r="A2632" s="3" t="s">
        <v>8165</v>
      </c>
      <c r="B2632" s="4" t="s">
        <v>8320</v>
      </c>
      <c r="C2632" s="4" t="s">
        <v>14</v>
      </c>
      <c r="D2632" s="4" t="s">
        <v>15</v>
      </c>
      <c r="E2632" s="5" t="str">
        <f>"9270329"</f>
        <v>9270329</v>
      </c>
      <c r="F2632" s="3" t="s">
        <v>8400</v>
      </c>
      <c r="G2632" s="5">
        <v>2461030271</v>
      </c>
      <c r="H2632" s="4" t="s">
        <v>8401</v>
      </c>
      <c r="I2632" s="4" t="s">
        <v>8323</v>
      </c>
      <c r="J2632" s="4" t="s">
        <v>8328</v>
      </c>
      <c r="K2632" s="4" t="s">
        <v>8402</v>
      </c>
      <c r="L2632" s="5">
        <v>50132</v>
      </c>
    </row>
    <row r="2633" spans="1:12" x14ac:dyDescent="0.25">
      <c r="A2633" s="3" t="s">
        <v>8165</v>
      </c>
      <c r="B2633" s="4" t="s">
        <v>8320</v>
      </c>
      <c r="C2633" s="4" t="s">
        <v>25</v>
      </c>
      <c r="D2633" s="4" t="s">
        <v>26</v>
      </c>
      <c r="E2633" s="5" t="str">
        <f>"9270087"</f>
        <v>9270087</v>
      </c>
      <c r="F2633" s="3" t="s">
        <v>8403</v>
      </c>
      <c r="G2633" s="5">
        <v>2463023444</v>
      </c>
      <c r="H2633" s="4" t="s">
        <v>8404</v>
      </c>
      <c r="I2633" s="4" t="s">
        <v>8332</v>
      </c>
      <c r="J2633" s="4" t="s">
        <v>8337</v>
      </c>
      <c r="K2633" s="4" t="s">
        <v>8405</v>
      </c>
      <c r="L2633" s="5">
        <v>50200</v>
      </c>
    </row>
    <row r="2634" spans="1:12" x14ac:dyDescent="0.25">
      <c r="A2634" s="3" t="s">
        <v>8165</v>
      </c>
      <c r="B2634" s="4" t="s">
        <v>8320</v>
      </c>
      <c r="C2634" s="4" t="s">
        <v>14</v>
      </c>
      <c r="D2634" s="4" t="s">
        <v>15</v>
      </c>
      <c r="E2634" s="5" t="str">
        <f>"9270222"</f>
        <v>9270222</v>
      </c>
      <c r="F2634" s="3" t="s">
        <v>8406</v>
      </c>
      <c r="G2634" s="5">
        <v>2461030661</v>
      </c>
      <c r="H2634" s="4" t="s">
        <v>8407</v>
      </c>
      <c r="I2634" s="4" t="s">
        <v>8323</v>
      </c>
      <c r="J2634" s="4" t="s">
        <v>8328</v>
      </c>
      <c r="K2634" s="4" t="s">
        <v>8408</v>
      </c>
      <c r="L2634" s="5">
        <v>50100</v>
      </c>
    </row>
    <row r="2635" spans="1:12" x14ac:dyDescent="0.25">
      <c r="A2635" s="3" t="s">
        <v>8165</v>
      </c>
      <c r="B2635" s="4" t="s">
        <v>8320</v>
      </c>
      <c r="C2635" s="4" t="s">
        <v>14</v>
      </c>
      <c r="D2635" s="4" t="s">
        <v>15</v>
      </c>
      <c r="E2635" s="5" t="str">
        <f>"9270312"</f>
        <v>9270312</v>
      </c>
      <c r="F2635" s="3" t="s">
        <v>8409</v>
      </c>
      <c r="G2635" s="5">
        <v>2461035482</v>
      </c>
      <c r="H2635" s="4" t="s">
        <v>8410</v>
      </c>
      <c r="I2635" s="4" t="s">
        <v>8323</v>
      </c>
      <c r="J2635" s="4" t="s">
        <v>8328</v>
      </c>
      <c r="K2635" s="4" t="s">
        <v>8408</v>
      </c>
      <c r="L2635" s="5">
        <v>50100</v>
      </c>
    </row>
    <row r="2636" spans="1:12" x14ac:dyDescent="0.25">
      <c r="A2636" s="3" t="s">
        <v>8165</v>
      </c>
      <c r="B2636" s="4" t="s">
        <v>8320</v>
      </c>
      <c r="C2636" s="4" t="s">
        <v>25</v>
      </c>
      <c r="D2636" s="4" t="s">
        <v>26</v>
      </c>
      <c r="E2636" s="5" t="str">
        <f>"9270333"</f>
        <v>9270333</v>
      </c>
      <c r="F2636" s="3" t="s">
        <v>8411</v>
      </c>
      <c r="G2636" s="5">
        <v>2461035965</v>
      </c>
      <c r="H2636" s="4" t="s">
        <v>8412</v>
      </c>
      <c r="I2636" s="4" t="s">
        <v>8323</v>
      </c>
      <c r="J2636" s="4" t="s">
        <v>8328</v>
      </c>
      <c r="K2636" s="4" t="s">
        <v>8413</v>
      </c>
      <c r="L2636" s="5">
        <v>50100</v>
      </c>
    </row>
    <row r="2637" spans="1:12" x14ac:dyDescent="0.25">
      <c r="A2637" s="3" t="s">
        <v>8165</v>
      </c>
      <c r="B2637" s="4" t="s">
        <v>8320</v>
      </c>
      <c r="C2637" s="4" t="s">
        <v>14</v>
      </c>
      <c r="D2637" s="4" t="s">
        <v>15</v>
      </c>
      <c r="E2637" s="5" t="str">
        <f>"9270296"</f>
        <v>9270296</v>
      </c>
      <c r="F2637" s="3" t="s">
        <v>8414</v>
      </c>
      <c r="G2637" s="5">
        <v>2461035393</v>
      </c>
      <c r="H2637" s="4" t="s">
        <v>8415</v>
      </c>
      <c r="I2637" s="4" t="s">
        <v>8323</v>
      </c>
      <c r="J2637" s="4" t="s">
        <v>8328</v>
      </c>
      <c r="K2637" s="4" t="s">
        <v>8416</v>
      </c>
      <c r="L2637" s="5">
        <v>50131</v>
      </c>
    </row>
    <row r="2638" spans="1:12" x14ac:dyDescent="0.25">
      <c r="A2638" s="3" t="s">
        <v>8165</v>
      </c>
      <c r="B2638" s="4" t="s">
        <v>8320</v>
      </c>
      <c r="C2638" s="4" t="s">
        <v>14</v>
      </c>
      <c r="D2638" s="4" t="s">
        <v>15</v>
      </c>
      <c r="E2638" s="5" t="str">
        <f>"9270270"</f>
        <v>9270270</v>
      </c>
      <c r="F2638" s="3" t="s">
        <v>8417</v>
      </c>
      <c r="G2638" s="5">
        <v>2461022163</v>
      </c>
      <c r="H2638" s="4" t="s">
        <v>8418</v>
      </c>
      <c r="I2638" s="4" t="s">
        <v>8323</v>
      </c>
      <c r="J2638" s="4" t="s">
        <v>8328</v>
      </c>
      <c r="K2638" s="4" t="s">
        <v>8419</v>
      </c>
      <c r="L2638" s="5">
        <v>50100</v>
      </c>
    </row>
    <row r="2639" spans="1:12" x14ac:dyDescent="0.25">
      <c r="A2639" s="3" t="s">
        <v>8165</v>
      </c>
      <c r="B2639" s="4" t="s">
        <v>8320</v>
      </c>
      <c r="C2639" s="4" t="s">
        <v>14</v>
      </c>
      <c r="D2639" s="4" t="s">
        <v>15</v>
      </c>
      <c r="E2639" s="5" t="str">
        <f>"9270172"</f>
        <v>9270172</v>
      </c>
      <c r="F2639" s="3" t="s">
        <v>8420</v>
      </c>
      <c r="G2639" s="5">
        <v>2461098203</v>
      </c>
      <c r="H2639" s="4" t="s">
        <v>8421</v>
      </c>
      <c r="I2639" s="4" t="s">
        <v>8323</v>
      </c>
      <c r="J2639" s="4" t="s">
        <v>8422</v>
      </c>
      <c r="K2639" s="4" t="s">
        <v>8420</v>
      </c>
      <c r="L2639" s="5">
        <v>50004</v>
      </c>
    </row>
    <row r="2640" spans="1:12" x14ac:dyDescent="0.25">
      <c r="A2640" s="3" t="s">
        <v>8165</v>
      </c>
      <c r="B2640" s="4" t="s">
        <v>8320</v>
      </c>
      <c r="C2640" s="4" t="s">
        <v>14</v>
      </c>
      <c r="D2640" s="4" t="s">
        <v>15</v>
      </c>
      <c r="E2640" s="5" t="str">
        <f>"9270226"</f>
        <v>9270226</v>
      </c>
      <c r="F2640" s="3" t="s">
        <v>8423</v>
      </c>
      <c r="G2640" s="5">
        <v>2461305070</v>
      </c>
      <c r="H2640" s="4" t="s">
        <v>8424</v>
      </c>
      <c r="I2640" s="4" t="s">
        <v>8376</v>
      </c>
      <c r="J2640" s="4" t="s">
        <v>8425</v>
      </c>
      <c r="K2640" s="4"/>
      <c r="L2640" s="5">
        <v>50100</v>
      </c>
    </row>
    <row r="2641" spans="1:12" x14ac:dyDescent="0.25">
      <c r="A2641" s="3" t="s">
        <v>8165</v>
      </c>
      <c r="B2641" s="4" t="s">
        <v>8320</v>
      </c>
      <c r="C2641" s="4" t="s">
        <v>14</v>
      </c>
      <c r="D2641" s="4" t="s">
        <v>15</v>
      </c>
      <c r="E2641" s="5" t="str">
        <f>"9270170"</f>
        <v>9270170</v>
      </c>
      <c r="F2641" s="3" t="s">
        <v>8426</v>
      </c>
      <c r="G2641" s="5">
        <v>2461094207</v>
      </c>
      <c r="H2641" s="4" t="s">
        <v>8427</v>
      </c>
      <c r="I2641" s="4" t="s">
        <v>8323</v>
      </c>
      <c r="J2641" s="4" t="s">
        <v>8428</v>
      </c>
      <c r="K2641" s="4" t="s">
        <v>4754</v>
      </c>
      <c r="L2641" s="5">
        <v>50100</v>
      </c>
    </row>
    <row r="2642" spans="1:12" x14ac:dyDescent="0.25">
      <c r="A2642" s="3" t="s">
        <v>8165</v>
      </c>
      <c r="B2642" s="4" t="s">
        <v>8320</v>
      </c>
      <c r="C2642" s="4" t="s">
        <v>14</v>
      </c>
      <c r="D2642" s="4" t="s">
        <v>15</v>
      </c>
      <c r="E2642" s="5" t="str">
        <f>"9270297"</f>
        <v>9270297</v>
      </c>
      <c r="F2642" s="3" t="s">
        <v>8429</v>
      </c>
      <c r="G2642" s="5">
        <v>2465021865</v>
      </c>
      <c r="H2642" s="4" t="s">
        <v>8430</v>
      </c>
      <c r="I2642" s="4" t="s">
        <v>8349</v>
      </c>
      <c r="J2642" s="4" t="s">
        <v>8350</v>
      </c>
      <c r="K2642" s="4" t="s">
        <v>8431</v>
      </c>
      <c r="L2642" s="5">
        <v>50300</v>
      </c>
    </row>
    <row r="2643" spans="1:12" x14ac:dyDescent="0.25">
      <c r="A2643" s="3" t="s">
        <v>8165</v>
      </c>
      <c r="B2643" s="4" t="s">
        <v>8320</v>
      </c>
      <c r="C2643" s="4" t="s">
        <v>14</v>
      </c>
      <c r="D2643" s="4" t="s">
        <v>15</v>
      </c>
      <c r="E2643" s="5" t="str">
        <f>"9270195"</f>
        <v>9270195</v>
      </c>
      <c r="F2643" s="3" t="s">
        <v>8432</v>
      </c>
      <c r="G2643" s="5">
        <v>2461045396</v>
      </c>
      <c r="H2643" s="4" t="s">
        <v>8433</v>
      </c>
      <c r="I2643" s="4" t="s">
        <v>8323</v>
      </c>
      <c r="J2643" s="4" t="s">
        <v>8434</v>
      </c>
      <c r="K2643" s="4" t="s">
        <v>8435</v>
      </c>
      <c r="L2643" s="5">
        <v>50100</v>
      </c>
    </row>
    <row r="2644" spans="1:12" x14ac:dyDescent="0.25">
      <c r="A2644" s="3" t="s">
        <v>8165</v>
      </c>
      <c r="B2644" s="4" t="s">
        <v>8320</v>
      </c>
      <c r="C2644" s="4" t="s">
        <v>14</v>
      </c>
      <c r="D2644" s="4" t="s">
        <v>15</v>
      </c>
      <c r="E2644" s="5" t="str">
        <f>"9270004"</f>
        <v>9270004</v>
      </c>
      <c r="F2644" s="3" t="s">
        <v>8436</v>
      </c>
      <c r="G2644" s="5">
        <v>2465021416</v>
      </c>
      <c r="H2644" s="4" t="s">
        <v>8437</v>
      </c>
      <c r="I2644" s="4" t="s">
        <v>8349</v>
      </c>
      <c r="J2644" s="4" t="s">
        <v>8350</v>
      </c>
      <c r="K2644" s="4" t="s">
        <v>8438</v>
      </c>
      <c r="L2644" s="5">
        <v>50300</v>
      </c>
    </row>
    <row r="2645" spans="1:12" x14ac:dyDescent="0.25">
      <c r="A2645" s="3" t="s">
        <v>8165</v>
      </c>
      <c r="B2645" s="4" t="s">
        <v>8320</v>
      </c>
      <c r="C2645" s="4" t="s">
        <v>14</v>
      </c>
      <c r="D2645" s="4" t="s">
        <v>15</v>
      </c>
      <c r="E2645" s="5" t="str">
        <f>"9270175"</f>
        <v>9270175</v>
      </c>
      <c r="F2645" s="3" t="s">
        <v>8439</v>
      </c>
      <c r="G2645" s="5">
        <v>2461087201</v>
      </c>
      <c r="H2645" s="4" t="s">
        <v>8440</v>
      </c>
      <c r="I2645" s="4" t="s">
        <v>8323</v>
      </c>
      <c r="J2645" s="4" t="s">
        <v>8441</v>
      </c>
      <c r="K2645" s="4" t="s">
        <v>8441</v>
      </c>
      <c r="L2645" s="5">
        <v>50010</v>
      </c>
    </row>
    <row r="2646" spans="1:12" x14ac:dyDescent="0.25">
      <c r="A2646" s="3" t="s">
        <v>8165</v>
      </c>
      <c r="B2646" s="4" t="s">
        <v>8320</v>
      </c>
      <c r="C2646" s="4" t="s">
        <v>14</v>
      </c>
      <c r="D2646" s="4" t="s">
        <v>15</v>
      </c>
      <c r="E2646" s="5" t="str">
        <f>"9270093"</f>
        <v>9270093</v>
      </c>
      <c r="F2646" s="3" t="s">
        <v>8442</v>
      </c>
      <c r="G2646" s="5">
        <v>2463024598</v>
      </c>
      <c r="H2646" s="4" t="s">
        <v>8443</v>
      </c>
      <c r="I2646" s="4" t="s">
        <v>8332</v>
      </c>
      <c r="J2646" s="4" t="s">
        <v>8333</v>
      </c>
      <c r="K2646" s="4" t="s">
        <v>8338</v>
      </c>
      <c r="L2646" s="5">
        <v>50200</v>
      </c>
    </row>
    <row r="2647" spans="1:12" x14ac:dyDescent="0.25">
      <c r="A2647" s="3" t="s">
        <v>8165</v>
      </c>
      <c r="B2647" s="4" t="s">
        <v>8320</v>
      </c>
      <c r="C2647" s="4" t="s">
        <v>25</v>
      </c>
      <c r="D2647" s="4" t="s">
        <v>26</v>
      </c>
      <c r="E2647" s="5" t="str">
        <f>"9270319"</f>
        <v>9270319</v>
      </c>
      <c r="F2647" s="3" t="s">
        <v>8444</v>
      </c>
      <c r="G2647" s="5">
        <v>2461040125</v>
      </c>
      <c r="H2647" s="4" t="s">
        <v>8445</v>
      </c>
      <c r="I2647" s="4" t="s">
        <v>8323</v>
      </c>
      <c r="J2647" s="4" t="s">
        <v>8328</v>
      </c>
      <c r="K2647" s="4" t="s">
        <v>8446</v>
      </c>
      <c r="L2647" s="5">
        <v>50100</v>
      </c>
    </row>
    <row r="2648" spans="1:12" x14ac:dyDescent="0.25">
      <c r="A2648" s="3" t="s">
        <v>8165</v>
      </c>
      <c r="B2648" s="4" t="s">
        <v>8320</v>
      </c>
      <c r="C2648" s="4" t="s">
        <v>25</v>
      </c>
      <c r="D2648" s="4" t="s">
        <v>26</v>
      </c>
      <c r="E2648" s="5" t="str">
        <f>"9270287"</f>
        <v>9270287</v>
      </c>
      <c r="F2648" s="3" t="s">
        <v>8447</v>
      </c>
      <c r="G2648" s="5">
        <v>2461063880</v>
      </c>
      <c r="H2648" s="4" t="s">
        <v>8448</v>
      </c>
      <c r="I2648" s="4" t="s">
        <v>8323</v>
      </c>
      <c r="J2648" s="4" t="s">
        <v>8449</v>
      </c>
      <c r="K2648" s="4" t="s">
        <v>8450</v>
      </c>
      <c r="L2648" s="5">
        <v>50010</v>
      </c>
    </row>
    <row r="2649" spans="1:12" x14ac:dyDescent="0.25">
      <c r="A2649" s="3" t="s">
        <v>8165</v>
      </c>
      <c r="B2649" s="4" t="s">
        <v>8320</v>
      </c>
      <c r="C2649" s="4" t="s">
        <v>25</v>
      </c>
      <c r="D2649" s="4" t="s">
        <v>26</v>
      </c>
      <c r="E2649" s="5" t="str">
        <f>"9270217"</f>
        <v>9270217</v>
      </c>
      <c r="F2649" s="3" t="s">
        <v>8451</v>
      </c>
      <c r="G2649" s="5">
        <v>2461036593</v>
      </c>
      <c r="H2649" s="4" t="s">
        <v>8452</v>
      </c>
      <c r="I2649" s="4" t="s">
        <v>8323</v>
      </c>
      <c r="J2649" s="4" t="s">
        <v>8323</v>
      </c>
      <c r="K2649" s="4" t="s">
        <v>8453</v>
      </c>
      <c r="L2649" s="5">
        <v>50100</v>
      </c>
    </row>
    <row r="2650" spans="1:12" x14ac:dyDescent="0.25">
      <c r="A2650" s="3" t="s">
        <v>8165</v>
      </c>
      <c r="B2650" s="4" t="s">
        <v>8320</v>
      </c>
      <c r="C2650" s="4" t="s">
        <v>25</v>
      </c>
      <c r="D2650" s="4" t="s">
        <v>26</v>
      </c>
      <c r="E2650" s="5" t="str">
        <f>"9270346"</f>
        <v>9270346</v>
      </c>
      <c r="F2650" s="3" t="s">
        <v>8454</v>
      </c>
      <c r="G2650" s="5">
        <v>2461034289</v>
      </c>
      <c r="H2650" s="4" t="s">
        <v>8455</v>
      </c>
      <c r="I2650" s="4" t="s">
        <v>8323</v>
      </c>
      <c r="J2650" s="4" t="s">
        <v>8328</v>
      </c>
      <c r="K2650" s="4" t="s">
        <v>8456</v>
      </c>
      <c r="L2650" s="5">
        <v>50100</v>
      </c>
    </row>
    <row r="2651" spans="1:12" x14ac:dyDescent="0.25">
      <c r="A2651" s="3" t="s">
        <v>8165</v>
      </c>
      <c r="B2651" s="4" t="s">
        <v>8320</v>
      </c>
      <c r="C2651" s="4" t="s">
        <v>25</v>
      </c>
      <c r="D2651" s="4" t="s">
        <v>26</v>
      </c>
      <c r="E2651" s="5" t="str">
        <f>"9270369"</f>
        <v>9270369</v>
      </c>
      <c r="F2651" s="3" t="s">
        <v>8457</v>
      </c>
      <c r="G2651" s="5">
        <v>2461041072</v>
      </c>
      <c r="H2651" s="4" t="s">
        <v>8458</v>
      </c>
      <c r="I2651" s="4" t="s">
        <v>8323</v>
      </c>
      <c r="J2651" s="4" t="s">
        <v>8328</v>
      </c>
      <c r="K2651" s="4" t="s">
        <v>8459</v>
      </c>
      <c r="L2651" s="5">
        <v>50100</v>
      </c>
    </row>
    <row r="2652" spans="1:12" x14ac:dyDescent="0.25">
      <c r="A2652" s="3" t="s">
        <v>8165</v>
      </c>
      <c r="B2652" s="4" t="s">
        <v>8320</v>
      </c>
      <c r="C2652" s="4" t="s">
        <v>25</v>
      </c>
      <c r="D2652" s="4" t="s">
        <v>26</v>
      </c>
      <c r="E2652" s="5" t="str">
        <f>"9270318"</f>
        <v>9270318</v>
      </c>
      <c r="F2652" s="3" t="s">
        <v>8460</v>
      </c>
      <c r="G2652" s="5">
        <v>2461027672</v>
      </c>
      <c r="H2652" s="4" t="s">
        <v>8461</v>
      </c>
      <c r="I2652" s="4" t="s">
        <v>8323</v>
      </c>
      <c r="J2652" s="4" t="s">
        <v>8323</v>
      </c>
      <c r="K2652" s="4" t="s">
        <v>8462</v>
      </c>
      <c r="L2652" s="5">
        <v>50100</v>
      </c>
    </row>
    <row r="2653" spans="1:12" x14ac:dyDescent="0.25">
      <c r="A2653" s="3" t="s">
        <v>8165</v>
      </c>
      <c r="B2653" s="4" t="s">
        <v>8320</v>
      </c>
      <c r="C2653" s="4" t="s">
        <v>25</v>
      </c>
      <c r="D2653" s="4" t="s">
        <v>26</v>
      </c>
      <c r="E2653" s="5" t="str">
        <f>"9270334"</f>
        <v>9270334</v>
      </c>
      <c r="F2653" s="3" t="s">
        <v>8463</v>
      </c>
      <c r="G2653" s="5">
        <v>2461033298</v>
      </c>
      <c r="H2653" s="4" t="s">
        <v>8464</v>
      </c>
      <c r="I2653" s="4" t="s">
        <v>8323</v>
      </c>
      <c r="J2653" s="4" t="s">
        <v>8323</v>
      </c>
      <c r="K2653" s="4" t="s">
        <v>8465</v>
      </c>
      <c r="L2653" s="5">
        <v>50100</v>
      </c>
    </row>
    <row r="2654" spans="1:12" x14ac:dyDescent="0.25">
      <c r="A2654" s="3" t="s">
        <v>8165</v>
      </c>
      <c r="B2654" s="4" t="s">
        <v>8320</v>
      </c>
      <c r="C2654" s="4" t="s">
        <v>14</v>
      </c>
      <c r="D2654" s="4" t="s">
        <v>15</v>
      </c>
      <c r="E2654" s="5" t="str">
        <f>"9270197"</f>
        <v>9270197</v>
      </c>
      <c r="F2654" s="3" t="s">
        <v>8466</v>
      </c>
      <c r="G2654" s="5">
        <v>2461033597</v>
      </c>
      <c r="H2654" s="4" t="s">
        <v>8467</v>
      </c>
      <c r="I2654" s="4" t="s">
        <v>8323</v>
      </c>
      <c r="J2654" s="4" t="s">
        <v>8468</v>
      </c>
      <c r="K2654" s="4" t="s">
        <v>8469</v>
      </c>
      <c r="L2654" s="5">
        <v>50131</v>
      </c>
    </row>
    <row r="2655" spans="1:12" x14ac:dyDescent="0.25">
      <c r="A2655" s="3" t="s">
        <v>8165</v>
      </c>
      <c r="B2655" s="4" t="s">
        <v>8320</v>
      </c>
      <c r="C2655" s="4" t="s">
        <v>14</v>
      </c>
      <c r="D2655" s="4" t="s">
        <v>15</v>
      </c>
      <c r="E2655" s="5" t="str">
        <f>"9270350"</f>
        <v>9270350</v>
      </c>
      <c r="F2655" s="3" t="s">
        <v>8470</v>
      </c>
      <c r="G2655" s="5">
        <v>2461063419</v>
      </c>
      <c r="H2655" s="4" t="s">
        <v>8471</v>
      </c>
      <c r="I2655" s="4" t="s">
        <v>8323</v>
      </c>
      <c r="J2655" s="4" t="s">
        <v>8472</v>
      </c>
      <c r="K2655" s="4" t="s">
        <v>8473</v>
      </c>
      <c r="L2655" s="5">
        <v>50010</v>
      </c>
    </row>
    <row r="2656" spans="1:12" x14ac:dyDescent="0.25">
      <c r="A2656" s="3" t="s">
        <v>8165</v>
      </c>
      <c r="B2656" s="4" t="s">
        <v>8320</v>
      </c>
      <c r="C2656" s="4" t="s">
        <v>25</v>
      </c>
      <c r="D2656" s="4" t="s">
        <v>26</v>
      </c>
      <c r="E2656" s="5" t="str">
        <f>"9270355"</f>
        <v>9270355</v>
      </c>
      <c r="F2656" s="3" t="s">
        <v>8474</v>
      </c>
      <c r="G2656" s="5">
        <v>2465022198</v>
      </c>
      <c r="H2656" s="4" t="s">
        <v>8475</v>
      </c>
      <c r="I2656" s="4" t="s">
        <v>8349</v>
      </c>
      <c r="J2656" s="4" t="s">
        <v>8350</v>
      </c>
      <c r="K2656" s="4" t="s">
        <v>8476</v>
      </c>
      <c r="L2656" s="5">
        <v>50300</v>
      </c>
    </row>
    <row r="2657" spans="1:12" x14ac:dyDescent="0.25">
      <c r="A2657" s="3" t="s">
        <v>8165</v>
      </c>
      <c r="B2657" s="4" t="s">
        <v>8320</v>
      </c>
      <c r="C2657" s="4" t="s">
        <v>25</v>
      </c>
      <c r="D2657" s="4" t="s">
        <v>26</v>
      </c>
      <c r="E2657" s="5" t="str">
        <f>"9270388"</f>
        <v>9270388</v>
      </c>
      <c r="F2657" s="3" t="s">
        <v>8477</v>
      </c>
      <c r="G2657" s="5">
        <v>2461035979</v>
      </c>
      <c r="H2657" s="4" t="s">
        <v>8478</v>
      </c>
      <c r="I2657" s="4" t="s">
        <v>8323</v>
      </c>
      <c r="J2657" s="4" t="s">
        <v>8328</v>
      </c>
      <c r="K2657" s="4" t="s">
        <v>8479</v>
      </c>
      <c r="L2657" s="5">
        <v>50132</v>
      </c>
    </row>
    <row r="2658" spans="1:12" x14ac:dyDescent="0.25">
      <c r="A2658" s="3" t="s">
        <v>8165</v>
      </c>
      <c r="B2658" s="4" t="s">
        <v>8320</v>
      </c>
      <c r="C2658" s="4" t="s">
        <v>25</v>
      </c>
      <c r="D2658" s="4" t="s">
        <v>26</v>
      </c>
      <c r="E2658" s="5" t="str">
        <f>"9270216"</f>
        <v>9270216</v>
      </c>
      <c r="F2658" s="3" t="s">
        <v>8480</v>
      </c>
      <c r="G2658" s="5">
        <v>2461038190</v>
      </c>
      <c r="H2658" s="4" t="s">
        <v>8481</v>
      </c>
      <c r="I2658" s="4" t="s">
        <v>8323</v>
      </c>
      <c r="J2658" s="4" t="s">
        <v>8328</v>
      </c>
      <c r="K2658" s="4" t="s">
        <v>8482</v>
      </c>
      <c r="L2658" s="5">
        <v>50100</v>
      </c>
    </row>
    <row r="2659" spans="1:12" x14ac:dyDescent="0.25">
      <c r="A2659" s="3" t="s">
        <v>8165</v>
      </c>
      <c r="B2659" s="4" t="s">
        <v>8320</v>
      </c>
      <c r="C2659" s="4" t="s">
        <v>25</v>
      </c>
      <c r="D2659" s="4" t="s">
        <v>26</v>
      </c>
      <c r="E2659" s="5" t="str">
        <f>"9270378"</f>
        <v>9270378</v>
      </c>
      <c r="F2659" s="3" t="s">
        <v>8483</v>
      </c>
      <c r="G2659" s="5">
        <v>2461030149</v>
      </c>
      <c r="H2659" s="4" t="s">
        <v>8484</v>
      </c>
      <c r="I2659" s="4" t="s">
        <v>8323</v>
      </c>
      <c r="J2659" s="4" t="s">
        <v>8328</v>
      </c>
      <c r="K2659" s="4" t="s">
        <v>8485</v>
      </c>
      <c r="L2659" s="5">
        <v>50100</v>
      </c>
    </row>
    <row r="2660" spans="1:12" x14ac:dyDescent="0.25">
      <c r="A2660" s="3" t="s">
        <v>8165</v>
      </c>
      <c r="B2660" s="4" t="s">
        <v>8320</v>
      </c>
      <c r="C2660" s="4" t="s">
        <v>25</v>
      </c>
      <c r="D2660" s="4" t="s">
        <v>26</v>
      </c>
      <c r="E2660" s="5" t="str">
        <f>"9270347"</f>
        <v>9270347</v>
      </c>
      <c r="F2660" s="3" t="s">
        <v>8486</v>
      </c>
      <c r="G2660" s="5">
        <v>2461040079</v>
      </c>
      <c r="H2660" s="4" t="s">
        <v>8487</v>
      </c>
      <c r="I2660" s="4" t="s">
        <v>8323</v>
      </c>
      <c r="J2660" s="4" t="s">
        <v>8328</v>
      </c>
      <c r="K2660" s="4" t="s">
        <v>8488</v>
      </c>
      <c r="L2660" s="5">
        <v>50100</v>
      </c>
    </row>
    <row r="2661" spans="1:12" x14ac:dyDescent="0.25">
      <c r="A2661" s="3" t="s">
        <v>8165</v>
      </c>
      <c r="B2661" s="4" t="s">
        <v>8320</v>
      </c>
      <c r="C2661" s="4" t="s">
        <v>14</v>
      </c>
      <c r="D2661" s="4" t="s">
        <v>15</v>
      </c>
      <c r="E2661" s="5" t="str">
        <f>"9270397"</f>
        <v>9270397</v>
      </c>
      <c r="F2661" s="3" t="s">
        <v>8489</v>
      </c>
      <c r="G2661" s="5">
        <v>2464302005</v>
      </c>
      <c r="H2661" s="4" t="s">
        <v>8490</v>
      </c>
      <c r="I2661" s="4" t="s">
        <v>8376</v>
      </c>
      <c r="J2661" s="4" t="s">
        <v>8491</v>
      </c>
      <c r="K2661" s="4" t="s">
        <v>8492</v>
      </c>
      <c r="L2661" s="5">
        <v>50500</v>
      </c>
    </row>
    <row r="2662" spans="1:12" x14ac:dyDescent="0.25">
      <c r="A2662" s="3" t="s">
        <v>8165</v>
      </c>
      <c r="B2662" s="4" t="s">
        <v>8320</v>
      </c>
      <c r="C2662" s="4" t="s">
        <v>25</v>
      </c>
      <c r="D2662" s="4" t="s">
        <v>26</v>
      </c>
      <c r="E2662" s="5" t="str">
        <f>"9270157"</f>
        <v>9270157</v>
      </c>
      <c r="F2662" s="3" t="s">
        <v>8493</v>
      </c>
      <c r="G2662" s="5">
        <v>2461096557</v>
      </c>
      <c r="H2662" s="4" t="s">
        <v>8494</v>
      </c>
      <c r="I2662" s="4" t="s">
        <v>8323</v>
      </c>
      <c r="J2662" s="4" t="s">
        <v>8495</v>
      </c>
      <c r="K2662" s="4" t="s">
        <v>8495</v>
      </c>
      <c r="L2662" s="5">
        <v>50200</v>
      </c>
    </row>
    <row r="2663" spans="1:12" x14ac:dyDescent="0.25">
      <c r="A2663" s="3" t="s">
        <v>8165</v>
      </c>
      <c r="B2663" s="4" t="s">
        <v>8320</v>
      </c>
      <c r="C2663" s="4" t="s">
        <v>25</v>
      </c>
      <c r="D2663" s="4" t="s">
        <v>26</v>
      </c>
      <c r="E2663" s="5" t="str">
        <f>"9270380"</f>
        <v>9270380</v>
      </c>
      <c r="F2663" s="3" t="s">
        <v>8496</v>
      </c>
      <c r="G2663" s="5">
        <v>2463023919</v>
      </c>
      <c r="H2663" s="4" t="s">
        <v>8497</v>
      </c>
      <c r="I2663" s="4" t="s">
        <v>8332</v>
      </c>
      <c r="J2663" s="4" t="s">
        <v>8337</v>
      </c>
      <c r="K2663" s="4" t="s">
        <v>8498</v>
      </c>
      <c r="L2663" s="5">
        <v>50200</v>
      </c>
    </row>
    <row r="2664" spans="1:12" x14ac:dyDescent="0.25">
      <c r="A2664" s="3" t="s">
        <v>8165</v>
      </c>
      <c r="B2664" s="4" t="s">
        <v>8320</v>
      </c>
      <c r="C2664" s="4" t="s">
        <v>14</v>
      </c>
      <c r="D2664" s="4" t="s">
        <v>15</v>
      </c>
      <c r="E2664" s="5" t="str">
        <f>"9270136"</f>
        <v>9270136</v>
      </c>
      <c r="F2664" s="3" t="s">
        <v>8499</v>
      </c>
      <c r="G2664" s="5">
        <v>2463077241</v>
      </c>
      <c r="H2664" s="4" t="s">
        <v>8500</v>
      </c>
      <c r="I2664" s="4" t="s">
        <v>8332</v>
      </c>
      <c r="J2664" s="4" t="s">
        <v>8501</v>
      </c>
      <c r="K2664" s="4"/>
      <c r="L2664" s="5">
        <v>50200</v>
      </c>
    </row>
    <row r="2665" spans="1:12" x14ac:dyDescent="0.25">
      <c r="A2665" s="3" t="s">
        <v>8165</v>
      </c>
      <c r="B2665" s="4" t="s">
        <v>8320</v>
      </c>
      <c r="C2665" s="4" t="s">
        <v>25</v>
      </c>
      <c r="D2665" s="4" t="s">
        <v>26</v>
      </c>
      <c r="E2665" s="5" t="str">
        <f>"9270326"</f>
        <v>9270326</v>
      </c>
      <c r="F2665" s="3" t="s">
        <v>8502</v>
      </c>
      <c r="G2665" s="5">
        <v>2463055529</v>
      </c>
      <c r="H2665" s="4" t="s">
        <v>8503</v>
      </c>
      <c r="I2665" s="4" t="s">
        <v>8332</v>
      </c>
      <c r="J2665" s="4" t="s">
        <v>8337</v>
      </c>
      <c r="K2665" s="4" t="s">
        <v>8504</v>
      </c>
      <c r="L2665" s="5">
        <v>50200</v>
      </c>
    </row>
    <row r="2666" spans="1:12" x14ac:dyDescent="0.25">
      <c r="A2666" s="3" t="s">
        <v>8165</v>
      </c>
      <c r="B2666" s="4" t="s">
        <v>8320</v>
      </c>
      <c r="C2666" s="4" t="s">
        <v>14</v>
      </c>
      <c r="D2666" s="4" t="s">
        <v>15</v>
      </c>
      <c r="E2666" s="5" t="str">
        <f>"9270103"</f>
        <v>9270103</v>
      </c>
      <c r="F2666" s="3" t="s">
        <v>8505</v>
      </c>
      <c r="G2666" s="5">
        <v>2463061202</v>
      </c>
      <c r="H2666" s="4" t="s">
        <v>8506</v>
      </c>
      <c r="I2666" s="4" t="s">
        <v>8332</v>
      </c>
      <c r="J2666" s="4" t="s">
        <v>8507</v>
      </c>
      <c r="K2666" s="4" t="s">
        <v>8508</v>
      </c>
      <c r="L2666" s="5">
        <v>50005</v>
      </c>
    </row>
    <row r="2667" spans="1:12" x14ac:dyDescent="0.25">
      <c r="A2667" s="3" t="s">
        <v>8165</v>
      </c>
      <c r="B2667" s="4" t="s">
        <v>8320</v>
      </c>
      <c r="C2667" s="4" t="s">
        <v>14</v>
      </c>
      <c r="D2667" s="4" t="s">
        <v>15</v>
      </c>
      <c r="E2667" s="5" t="str">
        <f>"9270131"</f>
        <v>9270131</v>
      </c>
      <c r="F2667" s="3" t="s">
        <v>8509</v>
      </c>
      <c r="G2667" s="5">
        <v>2463075283</v>
      </c>
      <c r="H2667" s="4" t="s">
        <v>8510</v>
      </c>
      <c r="I2667" s="4" t="s">
        <v>8332</v>
      </c>
      <c r="J2667" s="4" t="s">
        <v>8511</v>
      </c>
      <c r="K2667" s="4" t="s">
        <v>8512</v>
      </c>
      <c r="L2667" s="5">
        <v>50200</v>
      </c>
    </row>
    <row r="2668" spans="1:12" x14ac:dyDescent="0.25">
      <c r="A2668" s="3" t="s">
        <v>8165</v>
      </c>
      <c r="B2668" s="4" t="s">
        <v>8320</v>
      </c>
      <c r="C2668" s="4" t="s">
        <v>14</v>
      </c>
      <c r="D2668" s="4" t="s">
        <v>179</v>
      </c>
      <c r="E2668" s="5" t="str">
        <f>"9270123"</f>
        <v>9270123</v>
      </c>
      <c r="F2668" s="3" t="s">
        <v>8513</v>
      </c>
      <c r="G2668" s="5">
        <v>2463031243</v>
      </c>
      <c r="H2668" s="4" t="s">
        <v>8514</v>
      </c>
      <c r="I2668" s="4" t="s">
        <v>8332</v>
      </c>
      <c r="J2668" s="4" t="s">
        <v>8515</v>
      </c>
      <c r="K2668" s="4" t="s">
        <v>8516</v>
      </c>
      <c r="L2668" s="5">
        <v>53070</v>
      </c>
    </row>
    <row r="2669" spans="1:12" x14ac:dyDescent="0.25">
      <c r="A2669" s="3" t="s">
        <v>8165</v>
      </c>
      <c r="B2669" s="4" t="s">
        <v>8320</v>
      </c>
      <c r="C2669" s="4" t="s">
        <v>14</v>
      </c>
      <c r="D2669" s="4" t="s">
        <v>15</v>
      </c>
      <c r="E2669" s="5" t="str">
        <f>"9270174"</f>
        <v>9270174</v>
      </c>
      <c r="F2669" s="3" t="s">
        <v>8517</v>
      </c>
      <c r="G2669" s="5">
        <v>2461094730</v>
      </c>
      <c r="H2669" s="4" t="s">
        <v>8518</v>
      </c>
      <c r="I2669" s="4" t="s">
        <v>8323</v>
      </c>
      <c r="J2669" s="4" t="s">
        <v>8519</v>
      </c>
      <c r="K2669" s="4" t="s">
        <v>8520</v>
      </c>
      <c r="L2669" s="5">
        <v>50100</v>
      </c>
    </row>
    <row r="2670" spans="1:12" x14ac:dyDescent="0.25">
      <c r="A2670" s="3" t="s">
        <v>8165</v>
      </c>
      <c r="B2670" s="4" t="s">
        <v>8320</v>
      </c>
      <c r="C2670" s="4" t="s">
        <v>14</v>
      </c>
      <c r="D2670" s="4" t="s">
        <v>15</v>
      </c>
      <c r="E2670" s="5" t="str">
        <f>"9270094"</f>
        <v>9270094</v>
      </c>
      <c r="F2670" s="3" t="s">
        <v>8521</v>
      </c>
      <c r="G2670" s="5">
        <v>2463024676</v>
      </c>
      <c r="H2670" s="4" t="s">
        <v>8522</v>
      </c>
      <c r="I2670" s="4" t="s">
        <v>8332</v>
      </c>
      <c r="J2670" s="4" t="s">
        <v>8337</v>
      </c>
      <c r="K2670" s="4" t="s">
        <v>8523</v>
      </c>
      <c r="L2670" s="5">
        <v>50200</v>
      </c>
    </row>
    <row r="2671" spans="1:12" x14ac:dyDescent="0.25">
      <c r="A2671" s="3" t="s">
        <v>8165</v>
      </c>
      <c r="B2671" s="4" t="s">
        <v>8320</v>
      </c>
      <c r="C2671" s="4" t="s">
        <v>14</v>
      </c>
      <c r="D2671" s="4" t="s">
        <v>15</v>
      </c>
      <c r="E2671" s="5" t="str">
        <f>"9270095"</f>
        <v>9270095</v>
      </c>
      <c r="F2671" s="3" t="s">
        <v>8524</v>
      </c>
      <c r="G2671" s="5">
        <v>2463022035</v>
      </c>
      <c r="H2671" s="4" t="s">
        <v>8525</v>
      </c>
      <c r="I2671" s="4" t="s">
        <v>8332</v>
      </c>
      <c r="J2671" s="4" t="s">
        <v>8333</v>
      </c>
      <c r="K2671" s="4" t="s">
        <v>8526</v>
      </c>
      <c r="L2671" s="5">
        <v>50200</v>
      </c>
    </row>
    <row r="2672" spans="1:12" x14ac:dyDescent="0.25">
      <c r="A2672" s="3" t="s">
        <v>8165</v>
      </c>
      <c r="B2672" s="4" t="s">
        <v>8320</v>
      </c>
      <c r="C2672" s="4" t="s">
        <v>14</v>
      </c>
      <c r="D2672" s="4" t="s">
        <v>15</v>
      </c>
      <c r="E2672" s="5" t="str">
        <f>"9270096"</f>
        <v>9270096</v>
      </c>
      <c r="F2672" s="3" t="s">
        <v>8527</v>
      </c>
      <c r="G2672" s="5">
        <v>2463024659</v>
      </c>
      <c r="H2672" s="4" t="s">
        <v>8528</v>
      </c>
      <c r="I2672" s="4" t="s">
        <v>8332</v>
      </c>
      <c r="J2672" s="4" t="s">
        <v>8333</v>
      </c>
      <c r="K2672" s="4" t="s">
        <v>8529</v>
      </c>
      <c r="L2672" s="5">
        <v>50200</v>
      </c>
    </row>
    <row r="2673" spans="1:12" x14ac:dyDescent="0.25">
      <c r="A2673" s="3" t="s">
        <v>8165</v>
      </c>
      <c r="B2673" s="4" t="s">
        <v>8320</v>
      </c>
      <c r="C2673" s="4" t="s">
        <v>25</v>
      </c>
      <c r="D2673" s="4" t="s">
        <v>26</v>
      </c>
      <c r="E2673" s="5" t="str">
        <f>"9270344"</f>
        <v>9270344</v>
      </c>
      <c r="F2673" s="3" t="s">
        <v>8530</v>
      </c>
      <c r="G2673" s="5">
        <v>2463024577</v>
      </c>
      <c r="H2673" s="4" t="s">
        <v>8531</v>
      </c>
      <c r="I2673" s="4" t="s">
        <v>8332</v>
      </c>
      <c r="J2673" s="4" t="s">
        <v>8337</v>
      </c>
      <c r="K2673" s="4" t="s">
        <v>8532</v>
      </c>
      <c r="L2673" s="5">
        <v>50200</v>
      </c>
    </row>
    <row r="2674" spans="1:12" x14ac:dyDescent="0.25">
      <c r="A2674" s="3" t="s">
        <v>8165</v>
      </c>
      <c r="B2674" s="4" t="s">
        <v>8320</v>
      </c>
      <c r="C2674" s="4" t="s">
        <v>14</v>
      </c>
      <c r="D2674" s="4" t="s">
        <v>15</v>
      </c>
      <c r="E2674" s="5" t="str">
        <f>"9270098"</f>
        <v>9270098</v>
      </c>
      <c r="F2674" s="3" t="s">
        <v>8533</v>
      </c>
      <c r="G2674" s="5">
        <v>2463022941</v>
      </c>
      <c r="H2674" s="4" t="s">
        <v>8534</v>
      </c>
      <c r="I2674" s="4" t="s">
        <v>8332</v>
      </c>
      <c r="J2674" s="4" t="s">
        <v>8333</v>
      </c>
      <c r="K2674" s="4" t="s">
        <v>8535</v>
      </c>
      <c r="L2674" s="5">
        <v>50200</v>
      </c>
    </row>
    <row r="2675" spans="1:12" x14ac:dyDescent="0.25">
      <c r="A2675" s="3" t="s">
        <v>8165</v>
      </c>
      <c r="B2675" s="4" t="s">
        <v>8320</v>
      </c>
      <c r="C2675" s="4" t="s">
        <v>14</v>
      </c>
      <c r="D2675" s="4" t="s">
        <v>15</v>
      </c>
      <c r="E2675" s="5" t="str">
        <f>"9270099"</f>
        <v>9270099</v>
      </c>
      <c r="F2675" s="3" t="s">
        <v>8536</v>
      </c>
      <c r="G2675" s="5">
        <v>2463022923</v>
      </c>
      <c r="H2675" s="4" t="s">
        <v>8537</v>
      </c>
      <c r="I2675" s="4" t="s">
        <v>8332</v>
      </c>
      <c r="J2675" s="4" t="s">
        <v>8333</v>
      </c>
      <c r="K2675" s="4" t="s">
        <v>8538</v>
      </c>
      <c r="L2675" s="5">
        <v>50200</v>
      </c>
    </row>
    <row r="2676" spans="1:12" x14ac:dyDescent="0.25">
      <c r="A2676" s="3" t="s">
        <v>8165</v>
      </c>
      <c r="B2676" s="4" t="s">
        <v>8320</v>
      </c>
      <c r="C2676" s="4" t="s">
        <v>14</v>
      </c>
      <c r="D2676" s="4" t="s">
        <v>15</v>
      </c>
      <c r="E2676" s="5" t="str">
        <f>"9270271"</f>
        <v>9270271</v>
      </c>
      <c r="F2676" s="3" t="s">
        <v>8539</v>
      </c>
      <c r="G2676" s="5">
        <v>2463023203</v>
      </c>
      <c r="H2676" s="4" t="s">
        <v>8540</v>
      </c>
      <c r="I2676" s="4" t="s">
        <v>8332</v>
      </c>
      <c r="J2676" s="4" t="s">
        <v>8333</v>
      </c>
      <c r="K2676" s="4" t="s">
        <v>8541</v>
      </c>
      <c r="L2676" s="5">
        <v>50200</v>
      </c>
    </row>
    <row r="2677" spans="1:12" x14ac:dyDescent="0.25">
      <c r="A2677" s="3" t="s">
        <v>8165</v>
      </c>
      <c r="B2677" s="4" t="s">
        <v>8320</v>
      </c>
      <c r="C2677" s="4" t="s">
        <v>14</v>
      </c>
      <c r="D2677" s="4" t="s">
        <v>15</v>
      </c>
      <c r="E2677" s="5" t="str">
        <f>"9270358"</f>
        <v>9270358</v>
      </c>
      <c r="F2677" s="3" t="s">
        <v>8542</v>
      </c>
      <c r="G2677" s="5">
        <v>2463024583</v>
      </c>
      <c r="H2677" s="4" t="s">
        <v>8543</v>
      </c>
      <c r="I2677" s="4" t="s">
        <v>8332</v>
      </c>
      <c r="J2677" s="4" t="s">
        <v>8333</v>
      </c>
      <c r="K2677" s="4" t="s">
        <v>8544</v>
      </c>
      <c r="L2677" s="5">
        <v>50200</v>
      </c>
    </row>
    <row r="2678" spans="1:12" x14ac:dyDescent="0.25">
      <c r="A2678" s="3" t="s">
        <v>8165</v>
      </c>
      <c r="B2678" s="4" t="s">
        <v>8320</v>
      </c>
      <c r="C2678" s="4" t="s">
        <v>14</v>
      </c>
      <c r="D2678" s="4" t="s">
        <v>15</v>
      </c>
      <c r="E2678" s="5" t="str">
        <f>"9270097"</f>
        <v>9270097</v>
      </c>
      <c r="F2678" s="3" t="s">
        <v>8545</v>
      </c>
      <c r="G2678" s="5">
        <v>2463022963</v>
      </c>
      <c r="H2678" s="4" t="s">
        <v>8546</v>
      </c>
      <c r="I2678" s="4" t="s">
        <v>8332</v>
      </c>
      <c r="J2678" s="4" t="s">
        <v>8333</v>
      </c>
      <c r="K2678" s="4" t="s">
        <v>8547</v>
      </c>
      <c r="L2678" s="5">
        <v>50200</v>
      </c>
    </row>
    <row r="2679" spans="1:12" x14ac:dyDescent="0.25">
      <c r="A2679" s="3" t="s">
        <v>8165</v>
      </c>
      <c r="B2679" s="4" t="s">
        <v>8320</v>
      </c>
      <c r="C2679" s="4" t="s">
        <v>14</v>
      </c>
      <c r="D2679" s="4" t="s">
        <v>15</v>
      </c>
      <c r="E2679" s="5" t="str">
        <f>"9270330"</f>
        <v>9270330</v>
      </c>
      <c r="F2679" s="3" t="s">
        <v>8548</v>
      </c>
      <c r="G2679" s="5">
        <v>2463025080</v>
      </c>
      <c r="H2679" s="4" t="s">
        <v>8549</v>
      </c>
      <c r="I2679" s="4" t="s">
        <v>8332</v>
      </c>
      <c r="J2679" s="4" t="s">
        <v>8333</v>
      </c>
      <c r="K2679" s="4" t="s">
        <v>8550</v>
      </c>
      <c r="L2679" s="5">
        <v>50200</v>
      </c>
    </row>
    <row r="2680" spans="1:12" x14ac:dyDescent="0.25">
      <c r="A2680" s="3" t="s">
        <v>8165</v>
      </c>
      <c r="B2680" s="4" t="s">
        <v>8320</v>
      </c>
      <c r="C2680" s="4" t="s">
        <v>14</v>
      </c>
      <c r="D2680" s="4" t="s">
        <v>15</v>
      </c>
      <c r="E2680" s="5" t="str">
        <f>"9270342"</f>
        <v>9270342</v>
      </c>
      <c r="F2680" s="3" t="s">
        <v>8551</v>
      </c>
      <c r="G2680" s="5">
        <v>2463028266</v>
      </c>
      <c r="H2680" s="4" t="s">
        <v>8552</v>
      </c>
      <c r="I2680" s="4" t="s">
        <v>8332</v>
      </c>
      <c r="J2680" s="4" t="s">
        <v>8333</v>
      </c>
      <c r="K2680" s="4" t="s">
        <v>8532</v>
      </c>
      <c r="L2680" s="5">
        <v>50200</v>
      </c>
    </row>
    <row r="2681" spans="1:12" x14ac:dyDescent="0.25">
      <c r="A2681" s="3" t="s">
        <v>8165</v>
      </c>
      <c r="B2681" s="4" t="s">
        <v>8320</v>
      </c>
      <c r="C2681" s="4" t="s">
        <v>14</v>
      </c>
      <c r="D2681" s="4" t="s">
        <v>15</v>
      </c>
      <c r="E2681" s="5" t="str">
        <f>"9270092"</f>
        <v>9270092</v>
      </c>
      <c r="F2681" s="3" t="s">
        <v>8553</v>
      </c>
      <c r="G2681" s="5">
        <v>2463024597</v>
      </c>
      <c r="H2681" s="4" t="s">
        <v>8554</v>
      </c>
      <c r="I2681" s="4" t="s">
        <v>8332</v>
      </c>
      <c r="J2681" s="4" t="s">
        <v>8333</v>
      </c>
      <c r="K2681" s="4" t="s">
        <v>8555</v>
      </c>
      <c r="L2681" s="5">
        <v>50200</v>
      </c>
    </row>
    <row r="2682" spans="1:12" x14ac:dyDescent="0.25">
      <c r="A2682" s="3" t="s">
        <v>8165</v>
      </c>
      <c r="B2682" s="4" t="s">
        <v>8320</v>
      </c>
      <c r="C2682" s="4" t="s">
        <v>14</v>
      </c>
      <c r="D2682" s="4" t="s">
        <v>15</v>
      </c>
      <c r="E2682" s="5" t="str">
        <f>"9520627"</f>
        <v>9520627</v>
      </c>
      <c r="F2682" s="3" t="s">
        <v>8556</v>
      </c>
      <c r="G2682" s="5">
        <v>2461031008</v>
      </c>
      <c r="H2682" s="4" t="s">
        <v>8557</v>
      </c>
      <c r="I2682" s="4" t="s">
        <v>8323</v>
      </c>
      <c r="J2682" s="4" t="s">
        <v>8328</v>
      </c>
      <c r="K2682" s="4" t="s">
        <v>8416</v>
      </c>
      <c r="L2682" s="5">
        <v>50131</v>
      </c>
    </row>
    <row r="2683" spans="1:12" x14ac:dyDescent="0.25">
      <c r="A2683" s="3" t="s">
        <v>8165</v>
      </c>
      <c r="B2683" s="4" t="s">
        <v>8320</v>
      </c>
      <c r="C2683" s="4" t="s">
        <v>14</v>
      </c>
      <c r="D2683" s="4" t="s">
        <v>15</v>
      </c>
      <c r="E2683" s="5" t="str">
        <f>"9270047"</f>
        <v>9270047</v>
      </c>
      <c r="F2683" s="3" t="s">
        <v>8558</v>
      </c>
      <c r="G2683" s="5">
        <v>2468022240</v>
      </c>
      <c r="H2683" s="4" t="s">
        <v>8559</v>
      </c>
      <c r="I2683" s="4" t="s">
        <v>8349</v>
      </c>
      <c r="J2683" s="4" t="s">
        <v>746</v>
      </c>
      <c r="K2683" s="4" t="s">
        <v>8560</v>
      </c>
      <c r="L2683" s="5">
        <v>50001</v>
      </c>
    </row>
    <row r="2684" spans="1:12" x14ac:dyDescent="0.25">
      <c r="A2684" s="3" t="s">
        <v>8165</v>
      </c>
      <c r="B2684" s="4" t="s">
        <v>8320</v>
      </c>
      <c r="C2684" s="4" t="s">
        <v>14</v>
      </c>
      <c r="D2684" s="4" t="s">
        <v>15</v>
      </c>
      <c r="E2684" s="5" t="str">
        <f>"9270163"</f>
        <v>9270163</v>
      </c>
      <c r="F2684" s="3" t="s">
        <v>8561</v>
      </c>
      <c r="G2684" s="5">
        <v>2461034484</v>
      </c>
      <c r="H2684" s="4" t="s">
        <v>8562</v>
      </c>
      <c r="I2684" s="4" t="s">
        <v>8323</v>
      </c>
      <c r="J2684" s="4" t="s">
        <v>8563</v>
      </c>
      <c r="K2684" s="4" t="s">
        <v>8564</v>
      </c>
      <c r="L2684" s="5">
        <v>50131</v>
      </c>
    </row>
    <row r="2685" spans="1:12" x14ac:dyDescent="0.25">
      <c r="A2685" s="3" t="s">
        <v>8165</v>
      </c>
      <c r="B2685" s="4" t="s">
        <v>8320</v>
      </c>
      <c r="C2685" s="4" t="s">
        <v>14</v>
      </c>
      <c r="D2685" s="4" t="s">
        <v>15</v>
      </c>
      <c r="E2685" s="5" t="str">
        <f>"9521418"</f>
        <v>9521418</v>
      </c>
      <c r="F2685" s="3" t="s">
        <v>8565</v>
      </c>
      <c r="G2685" s="5">
        <v>2461024702</v>
      </c>
      <c r="H2685" s="4" t="s">
        <v>8566</v>
      </c>
      <c r="I2685" s="4" t="s">
        <v>8323</v>
      </c>
      <c r="J2685" s="4" t="s">
        <v>8328</v>
      </c>
      <c r="K2685" s="4" t="s">
        <v>8567</v>
      </c>
      <c r="L2685" s="5">
        <v>50132</v>
      </c>
    </row>
    <row r="2686" spans="1:12" x14ac:dyDescent="0.25">
      <c r="A2686" s="3" t="s">
        <v>8165</v>
      </c>
      <c r="B2686" s="4" t="s">
        <v>8320</v>
      </c>
      <c r="C2686" s="4" t="s">
        <v>14</v>
      </c>
      <c r="D2686" s="4" t="s">
        <v>15</v>
      </c>
      <c r="E2686" s="5" t="str">
        <f>"9521612"</f>
        <v>9521612</v>
      </c>
      <c r="F2686" s="3" t="s">
        <v>8568</v>
      </c>
      <c r="G2686" s="5">
        <v>2461095732</v>
      </c>
      <c r="H2686" s="4" t="s">
        <v>8569</v>
      </c>
      <c r="I2686" s="4" t="s">
        <v>8323</v>
      </c>
      <c r="J2686" s="4" t="s">
        <v>8328</v>
      </c>
      <c r="K2686" s="4" t="s">
        <v>8570</v>
      </c>
      <c r="L2686" s="5">
        <v>50100</v>
      </c>
    </row>
    <row r="2687" spans="1:12" x14ac:dyDescent="0.25">
      <c r="A2687" s="3" t="s">
        <v>8165</v>
      </c>
      <c r="B2687" s="4" t="s">
        <v>8320</v>
      </c>
      <c r="C2687" s="4" t="s">
        <v>25</v>
      </c>
      <c r="D2687" s="4" t="s">
        <v>26</v>
      </c>
      <c r="E2687" s="5" t="str">
        <f>"9521569"</f>
        <v>9521569</v>
      </c>
      <c r="F2687" s="3" t="s">
        <v>8571</v>
      </c>
      <c r="G2687" s="5">
        <v>2461095693</v>
      </c>
      <c r="H2687" s="4" t="s">
        <v>8572</v>
      </c>
      <c r="I2687" s="4" t="s">
        <v>8323</v>
      </c>
      <c r="J2687" s="4" t="s">
        <v>8328</v>
      </c>
      <c r="K2687" s="4" t="s">
        <v>8573</v>
      </c>
      <c r="L2687" s="5">
        <v>50100</v>
      </c>
    </row>
    <row r="2688" spans="1:12" x14ac:dyDescent="0.25">
      <c r="A2688" s="3" t="s">
        <v>8165</v>
      </c>
      <c r="B2688" s="4" t="s">
        <v>8574</v>
      </c>
      <c r="C2688" s="4" t="s">
        <v>25</v>
      </c>
      <c r="D2688" s="4" t="s">
        <v>26</v>
      </c>
      <c r="E2688" s="5" t="str">
        <f>"9470076"</f>
        <v>9470076</v>
      </c>
      <c r="F2688" s="3" t="s">
        <v>8575</v>
      </c>
      <c r="G2688" s="5">
        <v>2385022703</v>
      </c>
      <c r="H2688" s="4" t="s">
        <v>8576</v>
      </c>
      <c r="I2688" s="4" t="s">
        <v>8577</v>
      </c>
      <c r="J2688" s="4" t="s">
        <v>8578</v>
      </c>
      <c r="K2688" s="4" t="s">
        <v>8579</v>
      </c>
      <c r="L2688" s="5">
        <v>53100</v>
      </c>
    </row>
    <row r="2689" spans="1:12" x14ac:dyDescent="0.25">
      <c r="A2689" s="3" t="s">
        <v>8165</v>
      </c>
      <c r="B2689" s="4" t="s">
        <v>8574</v>
      </c>
      <c r="C2689" s="4" t="s">
        <v>14</v>
      </c>
      <c r="D2689" s="4" t="s">
        <v>15</v>
      </c>
      <c r="E2689" s="5" t="str">
        <f>"9470073"</f>
        <v>9470073</v>
      </c>
      <c r="F2689" s="3" t="s">
        <v>8580</v>
      </c>
      <c r="G2689" s="5">
        <v>2385028112</v>
      </c>
      <c r="H2689" s="4" t="s">
        <v>8581</v>
      </c>
      <c r="I2689" s="4" t="s">
        <v>8577</v>
      </c>
      <c r="J2689" s="4" t="s">
        <v>8578</v>
      </c>
      <c r="K2689" s="4" t="s">
        <v>8582</v>
      </c>
      <c r="L2689" s="5">
        <v>53100</v>
      </c>
    </row>
    <row r="2690" spans="1:12" x14ac:dyDescent="0.25">
      <c r="A2690" s="3" t="s">
        <v>8165</v>
      </c>
      <c r="B2690" s="4" t="s">
        <v>8574</v>
      </c>
      <c r="C2690" s="4" t="s">
        <v>14</v>
      </c>
      <c r="D2690" s="4" t="s">
        <v>15</v>
      </c>
      <c r="E2690" s="5" t="str">
        <f>"9470004"</f>
        <v>9470004</v>
      </c>
      <c r="F2690" s="3" t="s">
        <v>8583</v>
      </c>
      <c r="G2690" s="5">
        <v>2386022353</v>
      </c>
      <c r="H2690" s="4" t="s">
        <v>8584</v>
      </c>
      <c r="I2690" s="4" t="s">
        <v>8585</v>
      </c>
      <c r="J2690" s="4" t="s">
        <v>8586</v>
      </c>
      <c r="K2690" s="4" t="s">
        <v>8587</v>
      </c>
      <c r="L2690" s="5">
        <v>53200</v>
      </c>
    </row>
    <row r="2691" spans="1:12" x14ac:dyDescent="0.25">
      <c r="A2691" s="3" t="s">
        <v>8165</v>
      </c>
      <c r="B2691" s="4" t="s">
        <v>8574</v>
      </c>
      <c r="C2691" s="4" t="s">
        <v>25</v>
      </c>
      <c r="D2691" s="4" t="s">
        <v>26</v>
      </c>
      <c r="E2691" s="5" t="str">
        <f>"9470074"</f>
        <v>9470074</v>
      </c>
      <c r="F2691" s="3" t="s">
        <v>8588</v>
      </c>
      <c r="G2691" s="5">
        <v>2385046977</v>
      </c>
      <c r="H2691" s="4" t="s">
        <v>8589</v>
      </c>
      <c r="I2691" s="4" t="s">
        <v>8577</v>
      </c>
      <c r="J2691" s="4" t="s">
        <v>8578</v>
      </c>
      <c r="K2691" s="4" t="s">
        <v>8582</v>
      </c>
      <c r="L2691" s="5">
        <v>53100</v>
      </c>
    </row>
    <row r="2692" spans="1:12" ht="30" x14ac:dyDescent="0.25">
      <c r="A2692" s="3" t="s">
        <v>8165</v>
      </c>
      <c r="B2692" s="4" t="s">
        <v>8574</v>
      </c>
      <c r="C2692" s="4" t="s">
        <v>14</v>
      </c>
      <c r="D2692" s="4" t="s">
        <v>15</v>
      </c>
      <c r="E2692" s="5" t="str">
        <f>"9470077"</f>
        <v>9470077</v>
      </c>
      <c r="F2692" s="3" t="s">
        <v>8590</v>
      </c>
      <c r="G2692" s="5">
        <v>2385022261</v>
      </c>
      <c r="H2692" s="4" t="s">
        <v>8591</v>
      </c>
      <c r="I2692" s="4" t="s">
        <v>8577</v>
      </c>
      <c r="J2692" s="4" t="s">
        <v>8578</v>
      </c>
      <c r="K2692" s="4" t="s">
        <v>8592</v>
      </c>
      <c r="L2692" s="5">
        <v>53100</v>
      </c>
    </row>
    <row r="2693" spans="1:12" x14ac:dyDescent="0.25">
      <c r="A2693" s="3" t="s">
        <v>8165</v>
      </c>
      <c r="B2693" s="4" t="s">
        <v>8574</v>
      </c>
      <c r="C2693" s="4" t="s">
        <v>25</v>
      </c>
      <c r="D2693" s="4" t="s">
        <v>26</v>
      </c>
      <c r="E2693" s="5" t="str">
        <f>"9470078"</f>
        <v>9470078</v>
      </c>
      <c r="F2693" s="3" t="s">
        <v>8593</v>
      </c>
      <c r="G2693" s="5">
        <v>2385026585</v>
      </c>
      <c r="H2693" s="4" t="s">
        <v>8594</v>
      </c>
      <c r="I2693" s="4" t="s">
        <v>8577</v>
      </c>
      <c r="J2693" s="4" t="s">
        <v>8578</v>
      </c>
      <c r="K2693" s="4" t="s">
        <v>8595</v>
      </c>
      <c r="L2693" s="5">
        <v>53100</v>
      </c>
    </row>
    <row r="2694" spans="1:12" x14ac:dyDescent="0.25">
      <c r="A2694" s="3" t="s">
        <v>8165</v>
      </c>
      <c r="B2694" s="4" t="s">
        <v>8574</v>
      </c>
      <c r="C2694" s="4" t="s">
        <v>14</v>
      </c>
      <c r="D2694" s="4" t="s">
        <v>15</v>
      </c>
      <c r="E2694" s="5" t="str">
        <f>"9470011"</f>
        <v>9470011</v>
      </c>
      <c r="F2694" s="3" t="s">
        <v>8596</v>
      </c>
      <c r="G2694" s="5">
        <v>2386041260</v>
      </c>
      <c r="H2694" s="4" t="s">
        <v>8597</v>
      </c>
      <c r="I2694" s="4" t="s">
        <v>8585</v>
      </c>
      <c r="J2694" s="4" t="s">
        <v>8598</v>
      </c>
      <c r="K2694" s="4" t="s">
        <v>8598</v>
      </c>
      <c r="L2694" s="5">
        <v>53075</v>
      </c>
    </row>
    <row r="2695" spans="1:12" x14ac:dyDescent="0.25">
      <c r="A2695" s="3" t="s">
        <v>8165</v>
      </c>
      <c r="B2695" s="4" t="s">
        <v>8574</v>
      </c>
      <c r="C2695" s="4" t="s">
        <v>14</v>
      </c>
      <c r="D2695" s="4" t="s">
        <v>15</v>
      </c>
      <c r="E2695" s="5" t="str">
        <f>"9470071"</f>
        <v>9470071</v>
      </c>
      <c r="F2695" s="3" t="s">
        <v>8599</v>
      </c>
      <c r="G2695" s="5">
        <v>2385044481</v>
      </c>
      <c r="H2695" s="4" t="s">
        <v>8600</v>
      </c>
      <c r="I2695" s="4" t="s">
        <v>8577</v>
      </c>
      <c r="J2695" s="4" t="s">
        <v>8578</v>
      </c>
      <c r="K2695" s="4" t="s">
        <v>8601</v>
      </c>
      <c r="L2695" s="5">
        <v>53100</v>
      </c>
    </row>
    <row r="2696" spans="1:12" x14ac:dyDescent="0.25">
      <c r="A2696" s="3" t="s">
        <v>8165</v>
      </c>
      <c r="B2696" s="4" t="s">
        <v>8574</v>
      </c>
      <c r="C2696" s="4" t="s">
        <v>14</v>
      </c>
      <c r="D2696" s="4" t="s">
        <v>15</v>
      </c>
      <c r="E2696" s="5" t="str">
        <f>"9470002"</f>
        <v>9470002</v>
      </c>
      <c r="F2696" s="3" t="s">
        <v>8602</v>
      </c>
      <c r="G2696" s="5">
        <v>2386022298</v>
      </c>
      <c r="H2696" s="4" t="s">
        <v>8603</v>
      </c>
      <c r="I2696" s="4" t="s">
        <v>8585</v>
      </c>
      <c r="J2696" s="4" t="s">
        <v>8586</v>
      </c>
      <c r="K2696" s="4" t="s">
        <v>8604</v>
      </c>
      <c r="L2696" s="5">
        <v>53200</v>
      </c>
    </row>
    <row r="2697" spans="1:12" x14ac:dyDescent="0.25">
      <c r="A2697" s="3" t="s">
        <v>8165</v>
      </c>
      <c r="B2697" s="4" t="s">
        <v>8574</v>
      </c>
      <c r="C2697" s="4" t="s">
        <v>14</v>
      </c>
      <c r="D2697" s="4" t="s">
        <v>15</v>
      </c>
      <c r="E2697" s="5" t="str">
        <f>"9470092"</f>
        <v>9470092</v>
      </c>
      <c r="F2697" s="3" t="s">
        <v>8605</v>
      </c>
      <c r="G2697" s="5">
        <v>2385305071</v>
      </c>
      <c r="H2697" s="4" t="s">
        <v>8606</v>
      </c>
      <c r="I2697" s="4" t="s">
        <v>8577</v>
      </c>
      <c r="J2697" s="4" t="s">
        <v>8607</v>
      </c>
      <c r="K2697" s="4" t="s">
        <v>8607</v>
      </c>
      <c r="L2697" s="5">
        <v>53100</v>
      </c>
    </row>
    <row r="2698" spans="1:12" x14ac:dyDescent="0.25">
      <c r="A2698" s="3" t="s">
        <v>8165</v>
      </c>
      <c r="B2698" s="4" t="s">
        <v>8574</v>
      </c>
      <c r="C2698" s="4" t="s">
        <v>25</v>
      </c>
      <c r="D2698" s="4" t="s">
        <v>26</v>
      </c>
      <c r="E2698" s="5" t="str">
        <f>"9470199"</f>
        <v>9470199</v>
      </c>
      <c r="F2698" s="3" t="s">
        <v>8608</v>
      </c>
      <c r="G2698" s="5">
        <v>2385045225</v>
      </c>
      <c r="H2698" s="4" t="s">
        <v>8609</v>
      </c>
      <c r="I2698" s="4" t="s">
        <v>8577</v>
      </c>
      <c r="J2698" s="4" t="s">
        <v>8578</v>
      </c>
      <c r="K2698" s="4" t="s">
        <v>8610</v>
      </c>
      <c r="L2698" s="5">
        <v>53100</v>
      </c>
    </row>
    <row r="2699" spans="1:12" x14ac:dyDescent="0.25">
      <c r="A2699" s="3" t="s">
        <v>8165</v>
      </c>
      <c r="B2699" s="4" t="s">
        <v>8574</v>
      </c>
      <c r="C2699" s="4" t="s">
        <v>25</v>
      </c>
      <c r="D2699" s="4" t="s">
        <v>26</v>
      </c>
      <c r="E2699" s="5" t="str">
        <f>"9470001"</f>
        <v>9470001</v>
      </c>
      <c r="F2699" s="3" t="s">
        <v>8611</v>
      </c>
      <c r="G2699" s="5">
        <v>2386022159</v>
      </c>
      <c r="H2699" s="4" t="s">
        <v>8612</v>
      </c>
      <c r="I2699" s="4" t="s">
        <v>8585</v>
      </c>
      <c r="J2699" s="4" t="s">
        <v>8586</v>
      </c>
      <c r="K2699" s="4" t="s">
        <v>8613</v>
      </c>
      <c r="L2699" s="5">
        <v>53200</v>
      </c>
    </row>
    <row r="2700" spans="1:12" x14ac:dyDescent="0.25">
      <c r="A2700" s="3" t="s">
        <v>8165</v>
      </c>
      <c r="B2700" s="4" t="s">
        <v>8574</v>
      </c>
      <c r="C2700" s="4" t="s">
        <v>25</v>
      </c>
      <c r="D2700" s="4" t="s">
        <v>26</v>
      </c>
      <c r="E2700" s="5" t="str">
        <f>"9470079"</f>
        <v>9470079</v>
      </c>
      <c r="F2700" s="3" t="s">
        <v>8614</v>
      </c>
      <c r="G2700" s="5">
        <v>2385023121</v>
      </c>
      <c r="H2700" s="4" t="s">
        <v>8615</v>
      </c>
      <c r="I2700" s="4" t="s">
        <v>8577</v>
      </c>
      <c r="J2700" s="4" t="s">
        <v>8578</v>
      </c>
      <c r="K2700" s="4" t="s">
        <v>8601</v>
      </c>
      <c r="L2700" s="5">
        <v>53100</v>
      </c>
    </row>
    <row r="2701" spans="1:12" x14ac:dyDescent="0.25">
      <c r="A2701" s="3" t="s">
        <v>8165</v>
      </c>
      <c r="B2701" s="4" t="s">
        <v>8574</v>
      </c>
      <c r="C2701" s="4" t="s">
        <v>14</v>
      </c>
      <c r="D2701" s="4" t="s">
        <v>15</v>
      </c>
      <c r="E2701" s="5" t="str">
        <f>"9470029"</f>
        <v>9470029</v>
      </c>
      <c r="F2701" s="3" t="s">
        <v>8616</v>
      </c>
      <c r="G2701" s="5">
        <v>2385041564</v>
      </c>
      <c r="H2701" s="4" t="s">
        <v>8617</v>
      </c>
      <c r="I2701" s="4" t="s">
        <v>8577</v>
      </c>
      <c r="J2701" s="4" t="s">
        <v>8618</v>
      </c>
      <c r="K2701" s="4" t="s">
        <v>8618</v>
      </c>
      <c r="L2701" s="5">
        <v>53100</v>
      </c>
    </row>
    <row r="2702" spans="1:12" x14ac:dyDescent="0.25">
      <c r="A2702" s="3" t="s">
        <v>8165</v>
      </c>
      <c r="B2702" s="4" t="s">
        <v>8574</v>
      </c>
      <c r="C2702" s="4" t="s">
        <v>14</v>
      </c>
      <c r="D2702" s="4" t="s">
        <v>452</v>
      </c>
      <c r="E2702" s="5" t="str">
        <f>"9470186"</f>
        <v>9470186</v>
      </c>
      <c r="F2702" s="3" t="s">
        <v>8619</v>
      </c>
      <c r="G2702" s="5">
        <v>2385022992</v>
      </c>
      <c r="H2702" s="4" t="s">
        <v>8620</v>
      </c>
      <c r="I2702" s="4" t="s">
        <v>8577</v>
      </c>
      <c r="J2702" s="4" t="s">
        <v>8578</v>
      </c>
      <c r="K2702" s="4" t="s">
        <v>8621</v>
      </c>
      <c r="L2702" s="5">
        <v>53100</v>
      </c>
    </row>
    <row r="2703" spans="1:12" x14ac:dyDescent="0.25">
      <c r="A2703" s="3" t="s">
        <v>8165</v>
      </c>
      <c r="B2703" s="4" t="s">
        <v>8574</v>
      </c>
      <c r="C2703" s="4" t="s">
        <v>14</v>
      </c>
      <c r="D2703" s="4" t="s">
        <v>15</v>
      </c>
      <c r="E2703" s="5" t="str">
        <f>"9470191"</f>
        <v>9470191</v>
      </c>
      <c r="F2703" s="3" t="s">
        <v>8622</v>
      </c>
      <c r="G2703" s="5">
        <v>2463042257</v>
      </c>
      <c r="H2703" s="4" t="s">
        <v>8623</v>
      </c>
      <c r="I2703" s="4" t="s">
        <v>8585</v>
      </c>
      <c r="J2703" s="4" t="s">
        <v>8624</v>
      </c>
      <c r="K2703" s="4" t="s">
        <v>8625</v>
      </c>
      <c r="L2703" s="5">
        <v>53070</v>
      </c>
    </row>
    <row r="2704" spans="1:12" x14ac:dyDescent="0.25">
      <c r="A2704" s="3" t="s">
        <v>8165</v>
      </c>
      <c r="B2704" s="4" t="s">
        <v>8574</v>
      </c>
      <c r="C2704" s="4" t="s">
        <v>14</v>
      </c>
      <c r="D2704" s="4" t="s">
        <v>15</v>
      </c>
      <c r="E2704" s="5" t="str">
        <f>"9470175"</f>
        <v>9470175</v>
      </c>
      <c r="F2704" s="3" t="s">
        <v>8626</v>
      </c>
      <c r="G2704" s="5">
        <v>2385030326</v>
      </c>
      <c r="H2704" s="4" t="s">
        <v>8627</v>
      </c>
      <c r="I2704" s="4" t="s">
        <v>8577</v>
      </c>
      <c r="J2704" s="4" t="s">
        <v>8628</v>
      </c>
      <c r="K2704" s="4" t="s">
        <v>8628</v>
      </c>
      <c r="L2704" s="5">
        <v>53100</v>
      </c>
    </row>
    <row r="2705" spans="1:12" x14ac:dyDescent="0.25">
      <c r="A2705" s="3" t="s">
        <v>8165</v>
      </c>
      <c r="B2705" s="4" t="s">
        <v>8574</v>
      </c>
      <c r="C2705" s="4" t="s">
        <v>14</v>
      </c>
      <c r="D2705" s="4" t="s">
        <v>15</v>
      </c>
      <c r="E2705" s="5" t="str">
        <f>"9470046"</f>
        <v>9470046</v>
      </c>
      <c r="F2705" s="3" t="s">
        <v>8629</v>
      </c>
      <c r="G2705" s="5">
        <v>2385037250</v>
      </c>
      <c r="H2705" s="4" t="s">
        <v>8630</v>
      </c>
      <c r="I2705" s="4" t="s">
        <v>8577</v>
      </c>
      <c r="J2705" s="4" t="s">
        <v>8631</v>
      </c>
      <c r="K2705" s="4" t="s">
        <v>8631</v>
      </c>
      <c r="L2705" s="5">
        <v>53071</v>
      </c>
    </row>
    <row r="2706" spans="1:12" x14ac:dyDescent="0.25">
      <c r="A2706" s="3" t="s">
        <v>8165</v>
      </c>
      <c r="B2706" s="4" t="s">
        <v>8574</v>
      </c>
      <c r="C2706" s="4" t="s">
        <v>14</v>
      </c>
      <c r="D2706" s="4" t="s">
        <v>15</v>
      </c>
      <c r="E2706" s="5" t="str">
        <f>"9470103"</f>
        <v>9470103</v>
      </c>
      <c r="F2706" s="3" t="s">
        <v>8632</v>
      </c>
      <c r="G2706" s="5">
        <v>2385036267</v>
      </c>
      <c r="H2706" s="4" t="s">
        <v>8633</v>
      </c>
      <c r="I2706" s="4" t="s">
        <v>8577</v>
      </c>
      <c r="J2706" s="4" t="s">
        <v>8634</v>
      </c>
      <c r="K2706" s="4" t="s">
        <v>8634</v>
      </c>
      <c r="L2706" s="5">
        <v>53100</v>
      </c>
    </row>
    <row r="2707" spans="1:12" x14ac:dyDescent="0.25">
      <c r="A2707" s="3" t="s">
        <v>8165</v>
      </c>
      <c r="B2707" s="4" t="s">
        <v>8574</v>
      </c>
      <c r="C2707" s="4" t="s">
        <v>14</v>
      </c>
      <c r="D2707" s="4" t="s">
        <v>15</v>
      </c>
      <c r="E2707" s="5" t="str">
        <f>"9470218"</f>
        <v>9470218</v>
      </c>
      <c r="F2707" s="3" t="s">
        <v>8635</v>
      </c>
      <c r="G2707" s="5">
        <v>2386022959</v>
      </c>
      <c r="H2707" s="4" t="s">
        <v>8636</v>
      </c>
      <c r="I2707" s="4" t="s">
        <v>8585</v>
      </c>
      <c r="J2707" s="4" t="s">
        <v>8586</v>
      </c>
      <c r="K2707" s="4" t="s">
        <v>8637</v>
      </c>
      <c r="L2707" s="5">
        <v>53200</v>
      </c>
    </row>
    <row r="2708" spans="1:12" x14ac:dyDescent="0.25">
      <c r="A2708" s="3" t="s">
        <v>8165</v>
      </c>
      <c r="B2708" s="4" t="s">
        <v>8574</v>
      </c>
      <c r="C2708" s="4" t="s">
        <v>14</v>
      </c>
      <c r="D2708" s="4" t="s">
        <v>15</v>
      </c>
      <c r="E2708" s="5" t="str">
        <f>"9470087"</f>
        <v>9470087</v>
      </c>
      <c r="F2708" s="3" t="s">
        <v>8638</v>
      </c>
      <c r="G2708" s="5">
        <v>2385051844</v>
      </c>
      <c r="H2708" s="4" t="s">
        <v>8639</v>
      </c>
      <c r="I2708" s="4" t="s">
        <v>8640</v>
      </c>
      <c r="J2708" s="4" t="s">
        <v>8641</v>
      </c>
      <c r="K2708" s="4" t="s">
        <v>8641</v>
      </c>
      <c r="L2708" s="5">
        <v>53077</v>
      </c>
    </row>
    <row r="2709" spans="1:12" x14ac:dyDescent="0.25">
      <c r="A2709" s="3" t="s">
        <v>8165</v>
      </c>
      <c r="B2709" s="4" t="s">
        <v>8574</v>
      </c>
      <c r="C2709" s="4" t="s">
        <v>14</v>
      </c>
      <c r="D2709" s="4" t="s">
        <v>15</v>
      </c>
      <c r="E2709" s="5" t="str">
        <f>"9470180"</f>
        <v>9470180</v>
      </c>
      <c r="F2709" s="3" t="s">
        <v>8642</v>
      </c>
      <c r="G2709" s="5">
        <v>2385022480</v>
      </c>
      <c r="H2709" s="4" t="s">
        <v>8643</v>
      </c>
      <c r="I2709" s="4" t="s">
        <v>8577</v>
      </c>
      <c r="J2709" s="4" t="s">
        <v>8578</v>
      </c>
      <c r="K2709" s="4" t="s">
        <v>8644</v>
      </c>
      <c r="L2709" s="5">
        <v>53100</v>
      </c>
    </row>
    <row r="2710" spans="1:12" x14ac:dyDescent="0.25">
      <c r="A2710" s="3" t="s">
        <v>8165</v>
      </c>
      <c r="B2710" s="4" t="s">
        <v>8574</v>
      </c>
      <c r="C2710" s="4" t="s">
        <v>14</v>
      </c>
      <c r="D2710" s="4" t="s">
        <v>15</v>
      </c>
      <c r="E2710" s="5" t="str">
        <f>"9470072"</f>
        <v>9470072</v>
      </c>
      <c r="F2710" s="3" t="s">
        <v>8645</v>
      </c>
      <c r="G2710" s="5">
        <v>2385022553</v>
      </c>
      <c r="H2710" s="4" t="s">
        <v>8646</v>
      </c>
      <c r="I2710" s="4" t="s">
        <v>8577</v>
      </c>
      <c r="J2710" s="4" t="s">
        <v>8578</v>
      </c>
      <c r="K2710" s="4" t="s">
        <v>8647</v>
      </c>
      <c r="L2710" s="5">
        <v>53100</v>
      </c>
    </row>
    <row r="2711" spans="1:12" x14ac:dyDescent="0.25">
      <c r="A2711" s="3" t="s">
        <v>8648</v>
      </c>
      <c r="B2711" s="4" t="s">
        <v>8649</v>
      </c>
      <c r="C2711" s="4" t="s">
        <v>25</v>
      </c>
      <c r="D2711" s="4" t="s">
        <v>26</v>
      </c>
      <c r="E2711" s="5" t="str">
        <f>"9040003"</f>
        <v>9040003</v>
      </c>
      <c r="F2711" s="3" t="s">
        <v>8650</v>
      </c>
      <c r="G2711" s="5">
        <v>2681070077</v>
      </c>
      <c r="H2711" s="4" t="s">
        <v>8651</v>
      </c>
      <c r="I2711" s="4" t="s">
        <v>8652</v>
      </c>
      <c r="J2711" s="4" t="s">
        <v>8653</v>
      </c>
      <c r="K2711" s="4" t="s">
        <v>8654</v>
      </c>
      <c r="L2711" s="5">
        <v>47131</v>
      </c>
    </row>
    <row r="2712" spans="1:12" x14ac:dyDescent="0.25">
      <c r="A2712" s="3" t="s">
        <v>8648</v>
      </c>
      <c r="B2712" s="4" t="s">
        <v>8649</v>
      </c>
      <c r="C2712" s="4" t="s">
        <v>25</v>
      </c>
      <c r="D2712" s="4" t="s">
        <v>26</v>
      </c>
      <c r="E2712" s="5" t="str">
        <f>"9040242"</f>
        <v>9040242</v>
      </c>
      <c r="F2712" s="3" t="s">
        <v>8655</v>
      </c>
      <c r="G2712" s="5">
        <v>2681079560</v>
      </c>
      <c r="H2712" s="4" t="s">
        <v>8656</v>
      </c>
      <c r="I2712" s="4" t="s">
        <v>8652</v>
      </c>
      <c r="J2712" s="4" t="s">
        <v>8653</v>
      </c>
      <c r="K2712" s="4" t="s">
        <v>8657</v>
      </c>
      <c r="L2712" s="5">
        <v>47100</v>
      </c>
    </row>
    <row r="2713" spans="1:12" x14ac:dyDescent="0.25">
      <c r="A2713" s="3" t="s">
        <v>8648</v>
      </c>
      <c r="B2713" s="4" t="s">
        <v>8649</v>
      </c>
      <c r="C2713" s="4" t="s">
        <v>25</v>
      </c>
      <c r="D2713" s="4" t="s">
        <v>26</v>
      </c>
      <c r="E2713" s="5" t="str">
        <f>"9040058"</f>
        <v>9040058</v>
      </c>
      <c r="F2713" s="3" t="s">
        <v>8658</v>
      </c>
      <c r="G2713" s="5">
        <v>2681065521</v>
      </c>
      <c r="H2713" s="4" t="s">
        <v>8659</v>
      </c>
      <c r="I2713" s="4" t="s">
        <v>8660</v>
      </c>
      <c r="J2713" s="4" t="s">
        <v>8661</v>
      </c>
      <c r="K2713" s="4" t="s">
        <v>8661</v>
      </c>
      <c r="L2713" s="5">
        <v>47040</v>
      </c>
    </row>
    <row r="2714" spans="1:12" x14ac:dyDescent="0.25">
      <c r="A2714" s="3" t="s">
        <v>8648</v>
      </c>
      <c r="B2714" s="4" t="s">
        <v>8649</v>
      </c>
      <c r="C2714" s="4" t="s">
        <v>14</v>
      </c>
      <c r="D2714" s="4" t="s">
        <v>15</v>
      </c>
      <c r="E2714" s="5" t="str">
        <f>"9040108"</f>
        <v>9040108</v>
      </c>
      <c r="F2714" s="3" t="s">
        <v>8662</v>
      </c>
      <c r="G2714" s="5">
        <v>2681028175</v>
      </c>
      <c r="H2714" s="4" t="s">
        <v>8663</v>
      </c>
      <c r="I2714" s="4" t="s">
        <v>8652</v>
      </c>
      <c r="J2714" s="4" t="s">
        <v>8653</v>
      </c>
      <c r="K2714" s="4" t="s">
        <v>8664</v>
      </c>
      <c r="L2714" s="5">
        <v>47131</v>
      </c>
    </row>
    <row r="2715" spans="1:12" x14ac:dyDescent="0.25">
      <c r="A2715" s="3" t="s">
        <v>8648</v>
      </c>
      <c r="B2715" s="4" t="s">
        <v>8649</v>
      </c>
      <c r="C2715" s="4" t="s">
        <v>14</v>
      </c>
      <c r="D2715" s="4" t="s">
        <v>15</v>
      </c>
      <c r="E2715" s="5" t="str">
        <f>"9040111"</f>
        <v>9040111</v>
      </c>
      <c r="F2715" s="3" t="s">
        <v>8665</v>
      </c>
      <c r="G2715" s="5">
        <v>2683360320</v>
      </c>
      <c r="H2715" s="4" t="s">
        <v>8666</v>
      </c>
      <c r="I2715" s="4" t="s">
        <v>8652</v>
      </c>
      <c r="J2715" s="4" t="s">
        <v>8653</v>
      </c>
      <c r="K2715" s="4" t="s">
        <v>8667</v>
      </c>
      <c r="L2715" s="5">
        <v>47150</v>
      </c>
    </row>
    <row r="2716" spans="1:12" x14ac:dyDescent="0.25">
      <c r="A2716" s="3" t="s">
        <v>8648</v>
      </c>
      <c r="B2716" s="4" t="s">
        <v>8649</v>
      </c>
      <c r="C2716" s="4" t="s">
        <v>14</v>
      </c>
      <c r="D2716" s="4" t="s">
        <v>15</v>
      </c>
      <c r="E2716" s="5" t="str">
        <f>"9040252"</f>
        <v>9040252</v>
      </c>
      <c r="F2716" s="3" t="s">
        <v>8668</v>
      </c>
      <c r="G2716" s="5">
        <v>2681070051</v>
      </c>
      <c r="H2716" s="4" t="s">
        <v>8669</v>
      </c>
      <c r="I2716" s="4" t="s">
        <v>8652</v>
      </c>
      <c r="J2716" s="4" t="s">
        <v>8653</v>
      </c>
      <c r="K2716" s="4" t="s">
        <v>8670</v>
      </c>
      <c r="L2716" s="5">
        <v>47100</v>
      </c>
    </row>
    <row r="2717" spans="1:12" x14ac:dyDescent="0.25">
      <c r="A2717" s="3" t="s">
        <v>8648</v>
      </c>
      <c r="B2717" s="4" t="s">
        <v>8649</v>
      </c>
      <c r="C2717" s="4" t="s">
        <v>25</v>
      </c>
      <c r="D2717" s="4" t="s">
        <v>26</v>
      </c>
      <c r="E2717" s="5" t="str">
        <f>"9040104"</f>
        <v>9040104</v>
      </c>
      <c r="F2717" s="3" t="s">
        <v>8671</v>
      </c>
      <c r="G2717" s="5">
        <v>2681023152</v>
      </c>
      <c r="H2717" s="4" t="s">
        <v>8672</v>
      </c>
      <c r="I2717" s="4" t="s">
        <v>8652</v>
      </c>
      <c r="J2717" s="4" t="s">
        <v>8653</v>
      </c>
      <c r="K2717" s="4" t="s">
        <v>8673</v>
      </c>
      <c r="L2717" s="5">
        <v>47132</v>
      </c>
    </row>
    <row r="2718" spans="1:12" x14ac:dyDescent="0.25">
      <c r="A2718" s="3" t="s">
        <v>8648</v>
      </c>
      <c r="B2718" s="4" t="s">
        <v>8649</v>
      </c>
      <c r="C2718" s="4" t="s">
        <v>25</v>
      </c>
      <c r="D2718" s="4" t="s">
        <v>26</v>
      </c>
      <c r="E2718" s="5" t="str">
        <f>"9040010"</f>
        <v>9040010</v>
      </c>
      <c r="F2718" s="3" t="s">
        <v>8674</v>
      </c>
      <c r="G2718" s="5">
        <v>2681070400</v>
      </c>
      <c r="H2718" s="4" t="s">
        <v>8675</v>
      </c>
      <c r="I2718" s="4" t="s">
        <v>8652</v>
      </c>
      <c r="J2718" s="4" t="s">
        <v>8653</v>
      </c>
      <c r="K2718" s="4" t="s">
        <v>8676</v>
      </c>
      <c r="L2718" s="5">
        <v>47131</v>
      </c>
    </row>
    <row r="2719" spans="1:12" x14ac:dyDescent="0.25">
      <c r="A2719" s="3" t="s">
        <v>8648</v>
      </c>
      <c r="B2719" s="4" t="s">
        <v>8649</v>
      </c>
      <c r="C2719" s="4" t="s">
        <v>25</v>
      </c>
      <c r="D2719" s="4" t="s">
        <v>26</v>
      </c>
      <c r="E2719" s="5" t="str">
        <f>"9040261"</f>
        <v>9040261</v>
      </c>
      <c r="F2719" s="3" t="s">
        <v>8677</v>
      </c>
      <c r="G2719" s="5">
        <v>2681023066</v>
      </c>
      <c r="H2719" s="4" t="s">
        <v>8678</v>
      </c>
      <c r="I2719" s="4" t="s">
        <v>8652</v>
      </c>
      <c r="J2719" s="4" t="s">
        <v>8653</v>
      </c>
      <c r="K2719" s="4" t="s">
        <v>8679</v>
      </c>
      <c r="L2719" s="5">
        <v>47100</v>
      </c>
    </row>
    <row r="2720" spans="1:12" x14ac:dyDescent="0.25">
      <c r="A2720" s="3" t="s">
        <v>8648</v>
      </c>
      <c r="B2720" s="4" t="s">
        <v>8649</v>
      </c>
      <c r="C2720" s="4" t="s">
        <v>14</v>
      </c>
      <c r="D2720" s="4" t="s">
        <v>15</v>
      </c>
      <c r="E2720" s="5" t="str">
        <f>"9040008"</f>
        <v>9040008</v>
      </c>
      <c r="F2720" s="3" t="s">
        <v>8680</v>
      </c>
      <c r="G2720" s="5">
        <v>2681028167</v>
      </c>
      <c r="H2720" s="4" t="s">
        <v>8681</v>
      </c>
      <c r="I2720" s="4" t="s">
        <v>8652</v>
      </c>
      <c r="J2720" s="4" t="s">
        <v>8653</v>
      </c>
      <c r="K2720" s="4" t="s">
        <v>8676</v>
      </c>
      <c r="L2720" s="5">
        <v>47131</v>
      </c>
    </row>
    <row r="2721" spans="1:12" x14ac:dyDescent="0.25">
      <c r="A2721" s="3" t="s">
        <v>8648</v>
      </c>
      <c r="B2721" s="4" t="s">
        <v>8649</v>
      </c>
      <c r="C2721" s="4" t="s">
        <v>14</v>
      </c>
      <c r="D2721" s="4" t="s">
        <v>15</v>
      </c>
      <c r="E2721" s="5" t="str">
        <f>"9040138"</f>
        <v>9040138</v>
      </c>
      <c r="F2721" s="3" t="s">
        <v>8682</v>
      </c>
      <c r="G2721" s="5">
        <v>2681085286</v>
      </c>
      <c r="H2721" s="4" t="s">
        <v>8683</v>
      </c>
      <c r="I2721" s="4" t="s">
        <v>8652</v>
      </c>
      <c r="J2721" s="4" t="s">
        <v>8684</v>
      </c>
      <c r="K2721" s="4" t="s">
        <v>8685</v>
      </c>
      <c r="L2721" s="5">
        <v>47100</v>
      </c>
    </row>
    <row r="2722" spans="1:12" x14ac:dyDescent="0.25">
      <c r="A2722" s="3" t="s">
        <v>8648</v>
      </c>
      <c r="B2722" s="4" t="s">
        <v>8649</v>
      </c>
      <c r="C2722" s="4" t="s">
        <v>14</v>
      </c>
      <c r="D2722" s="4" t="s">
        <v>15</v>
      </c>
      <c r="E2722" s="5" t="str">
        <f>"9040124"</f>
        <v>9040124</v>
      </c>
      <c r="F2722" s="3" t="s">
        <v>8686</v>
      </c>
      <c r="G2722" s="5">
        <v>2681041267</v>
      </c>
      <c r="H2722" s="4" t="s">
        <v>8687</v>
      </c>
      <c r="I2722" s="4" t="s">
        <v>8652</v>
      </c>
      <c r="J2722" s="4" t="s">
        <v>8688</v>
      </c>
      <c r="K2722" s="4" t="s">
        <v>8689</v>
      </c>
      <c r="L2722" s="5">
        <v>47100</v>
      </c>
    </row>
    <row r="2723" spans="1:12" x14ac:dyDescent="0.25">
      <c r="A2723" s="3" t="s">
        <v>8648</v>
      </c>
      <c r="B2723" s="4" t="s">
        <v>8649</v>
      </c>
      <c r="C2723" s="4" t="s">
        <v>14</v>
      </c>
      <c r="D2723" s="4" t="s">
        <v>15</v>
      </c>
      <c r="E2723" s="5" t="str">
        <f>"9040224"</f>
        <v>9040224</v>
      </c>
      <c r="F2723" s="3" t="s">
        <v>8690</v>
      </c>
      <c r="G2723" s="5">
        <v>2681035159</v>
      </c>
      <c r="H2723" s="4" t="s">
        <v>8691</v>
      </c>
      <c r="I2723" s="4" t="s">
        <v>8652</v>
      </c>
      <c r="J2723" s="4" t="s">
        <v>8692</v>
      </c>
      <c r="K2723" s="4" t="s">
        <v>8693</v>
      </c>
      <c r="L2723" s="5">
        <v>47150</v>
      </c>
    </row>
    <row r="2724" spans="1:12" x14ac:dyDescent="0.25">
      <c r="A2724" s="3" t="s">
        <v>8648</v>
      </c>
      <c r="B2724" s="4" t="s">
        <v>8649</v>
      </c>
      <c r="C2724" s="4" t="s">
        <v>14</v>
      </c>
      <c r="D2724" s="4" t="s">
        <v>15</v>
      </c>
      <c r="E2724" s="5" t="str">
        <f>"9040105"</f>
        <v>9040105</v>
      </c>
      <c r="F2724" s="3" t="s">
        <v>8694</v>
      </c>
      <c r="G2724" s="5">
        <v>2681028331</v>
      </c>
      <c r="H2724" s="4" t="s">
        <v>8695</v>
      </c>
      <c r="I2724" s="4" t="s">
        <v>8652</v>
      </c>
      <c r="J2724" s="4" t="s">
        <v>8653</v>
      </c>
      <c r="K2724" s="4" t="s">
        <v>8670</v>
      </c>
      <c r="L2724" s="5">
        <v>47131</v>
      </c>
    </row>
    <row r="2725" spans="1:12" x14ac:dyDescent="0.25">
      <c r="A2725" s="3" t="s">
        <v>8648</v>
      </c>
      <c r="B2725" s="4" t="s">
        <v>8649</v>
      </c>
      <c r="C2725" s="4" t="s">
        <v>25</v>
      </c>
      <c r="D2725" s="4" t="s">
        <v>26</v>
      </c>
      <c r="E2725" s="5" t="str">
        <f>"9040006"</f>
        <v>9040006</v>
      </c>
      <c r="F2725" s="3" t="s">
        <v>8696</v>
      </c>
      <c r="G2725" s="5">
        <v>2681027223</v>
      </c>
      <c r="H2725" s="4" t="s">
        <v>8697</v>
      </c>
      <c r="I2725" s="4" t="s">
        <v>8652</v>
      </c>
      <c r="J2725" s="4" t="s">
        <v>8653</v>
      </c>
      <c r="K2725" s="4" t="s">
        <v>8698</v>
      </c>
      <c r="L2725" s="5">
        <v>47132</v>
      </c>
    </row>
    <row r="2726" spans="1:12" x14ac:dyDescent="0.25">
      <c r="A2726" s="3" t="s">
        <v>8648</v>
      </c>
      <c r="B2726" s="4" t="s">
        <v>8649</v>
      </c>
      <c r="C2726" s="4" t="s">
        <v>14</v>
      </c>
      <c r="D2726" s="4" t="s">
        <v>15</v>
      </c>
      <c r="E2726" s="5" t="str">
        <f>"9040101"</f>
        <v>9040101</v>
      </c>
      <c r="F2726" s="3" t="s">
        <v>8699</v>
      </c>
      <c r="G2726" s="5">
        <v>2681360501</v>
      </c>
      <c r="H2726" s="4" t="s">
        <v>8700</v>
      </c>
      <c r="I2726" s="4" t="s">
        <v>8652</v>
      </c>
      <c r="J2726" s="4" t="s">
        <v>8653</v>
      </c>
      <c r="K2726" s="4" t="s">
        <v>8701</v>
      </c>
      <c r="L2726" s="5">
        <v>47132</v>
      </c>
    </row>
    <row r="2727" spans="1:12" x14ac:dyDescent="0.25">
      <c r="A2727" s="3" t="s">
        <v>8648</v>
      </c>
      <c r="B2727" s="4" t="s">
        <v>8649</v>
      </c>
      <c r="C2727" s="4" t="s">
        <v>14</v>
      </c>
      <c r="D2727" s="4" t="s">
        <v>15</v>
      </c>
      <c r="E2727" s="5" t="str">
        <f>"9040203"</f>
        <v>9040203</v>
      </c>
      <c r="F2727" s="3" t="s">
        <v>8702</v>
      </c>
      <c r="G2727" s="5">
        <v>2681028329</v>
      </c>
      <c r="H2727" s="4" t="s">
        <v>8703</v>
      </c>
      <c r="I2727" s="4" t="s">
        <v>8652</v>
      </c>
      <c r="J2727" s="4" t="s">
        <v>8704</v>
      </c>
      <c r="K2727" s="4" t="s">
        <v>8705</v>
      </c>
      <c r="L2727" s="5">
        <v>47150</v>
      </c>
    </row>
    <row r="2728" spans="1:12" x14ac:dyDescent="0.25">
      <c r="A2728" s="3" t="s">
        <v>8648</v>
      </c>
      <c r="B2728" s="4" t="s">
        <v>8649</v>
      </c>
      <c r="C2728" s="4" t="s">
        <v>14</v>
      </c>
      <c r="D2728" s="4" t="s">
        <v>15</v>
      </c>
      <c r="E2728" s="5" t="str">
        <f>"9040264"</f>
        <v>9040264</v>
      </c>
      <c r="F2728" s="3" t="s">
        <v>8706</v>
      </c>
      <c r="G2728" s="5">
        <v>2681079968</v>
      </c>
      <c r="H2728" s="4" t="s">
        <v>8707</v>
      </c>
      <c r="I2728" s="4" t="s">
        <v>8652</v>
      </c>
      <c r="J2728" s="4" t="s">
        <v>8653</v>
      </c>
      <c r="K2728" s="4" t="s">
        <v>8708</v>
      </c>
      <c r="L2728" s="5">
        <v>47100</v>
      </c>
    </row>
    <row r="2729" spans="1:12" x14ac:dyDescent="0.25">
      <c r="A2729" s="3" t="s">
        <v>8648</v>
      </c>
      <c r="B2729" s="4" t="s">
        <v>8649</v>
      </c>
      <c r="C2729" s="4" t="s">
        <v>14</v>
      </c>
      <c r="D2729" s="4" t="s">
        <v>15</v>
      </c>
      <c r="E2729" s="5" t="str">
        <f>"9040059"</f>
        <v>9040059</v>
      </c>
      <c r="F2729" s="3" t="s">
        <v>8709</v>
      </c>
      <c r="G2729" s="5">
        <v>2681065262</v>
      </c>
      <c r="H2729" s="4" t="s">
        <v>8710</v>
      </c>
      <c r="I2729" s="4" t="s">
        <v>8660</v>
      </c>
      <c r="J2729" s="4" t="s">
        <v>8661</v>
      </c>
      <c r="K2729" s="4" t="s">
        <v>8661</v>
      </c>
      <c r="L2729" s="5">
        <v>47040</v>
      </c>
    </row>
    <row r="2730" spans="1:12" x14ac:dyDescent="0.25">
      <c r="A2730" s="3" t="s">
        <v>8648</v>
      </c>
      <c r="B2730" s="4" t="s">
        <v>8649</v>
      </c>
      <c r="C2730" s="4" t="s">
        <v>14</v>
      </c>
      <c r="D2730" s="4" t="s">
        <v>15</v>
      </c>
      <c r="E2730" s="5" t="str">
        <f>"9040106"</f>
        <v>9040106</v>
      </c>
      <c r="F2730" s="3" t="s">
        <v>8711</v>
      </c>
      <c r="G2730" s="5">
        <v>2681028398</v>
      </c>
      <c r="H2730" s="4" t="s">
        <v>8712</v>
      </c>
      <c r="I2730" s="4" t="s">
        <v>8652</v>
      </c>
      <c r="J2730" s="4" t="s">
        <v>8653</v>
      </c>
      <c r="K2730" s="4" t="s">
        <v>8713</v>
      </c>
      <c r="L2730" s="5">
        <v>47132</v>
      </c>
    </row>
    <row r="2731" spans="1:12" x14ac:dyDescent="0.25">
      <c r="A2731" s="3" t="s">
        <v>8648</v>
      </c>
      <c r="B2731" s="4" t="s">
        <v>8649</v>
      </c>
      <c r="C2731" s="4" t="s">
        <v>14</v>
      </c>
      <c r="D2731" s="4" t="s">
        <v>15</v>
      </c>
      <c r="E2731" s="5" t="str">
        <f>"9040195"</f>
        <v>9040195</v>
      </c>
      <c r="F2731" s="3" t="s">
        <v>8714</v>
      </c>
      <c r="G2731" s="5">
        <v>2681051373</v>
      </c>
      <c r="H2731" s="4" t="s">
        <v>8715</v>
      </c>
      <c r="I2731" s="4" t="s">
        <v>8652</v>
      </c>
      <c r="J2731" s="4" t="s">
        <v>8716</v>
      </c>
      <c r="K2731" s="4" t="s">
        <v>3448</v>
      </c>
      <c r="L2731" s="5">
        <v>47150</v>
      </c>
    </row>
    <row r="2732" spans="1:12" x14ac:dyDescent="0.25">
      <c r="A2732" s="3" t="s">
        <v>8648</v>
      </c>
      <c r="B2732" s="4" t="s">
        <v>8649</v>
      </c>
      <c r="C2732" s="4" t="s">
        <v>25</v>
      </c>
      <c r="D2732" s="4" t="s">
        <v>26</v>
      </c>
      <c r="E2732" s="5" t="str">
        <f>"9040211"</f>
        <v>9040211</v>
      </c>
      <c r="F2732" s="3" t="s">
        <v>8717</v>
      </c>
      <c r="G2732" s="5">
        <v>2681077337</v>
      </c>
      <c r="H2732" s="4" t="s">
        <v>8718</v>
      </c>
      <c r="I2732" s="4" t="s">
        <v>8652</v>
      </c>
      <c r="J2732" s="4" t="s">
        <v>8653</v>
      </c>
      <c r="K2732" s="4" t="s">
        <v>8719</v>
      </c>
      <c r="L2732" s="5">
        <v>47132</v>
      </c>
    </row>
    <row r="2733" spans="1:12" x14ac:dyDescent="0.25">
      <c r="A2733" s="3" t="s">
        <v>8648</v>
      </c>
      <c r="B2733" s="4" t="s">
        <v>8649</v>
      </c>
      <c r="C2733" s="4" t="s">
        <v>14</v>
      </c>
      <c r="D2733" s="4" t="s">
        <v>15</v>
      </c>
      <c r="E2733" s="5" t="str">
        <f>"9040060"</f>
        <v>9040060</v>
      </c>
      <c r="F2733" s="3" t="s">
        <v>8720</v>
      </c>
      <c r="G2733" s="5">
        <v>2681026803</v>
      </c>
      <c r="H2733" s="4" t="s">
        <v>8721</v>
      </c>
      <c r="I2733" s="4" t="s">
        <v>8652</v>
      </c>
      <c r="J2733" s="4" t="s">
        <v>8722</v>
      </c>
      <c r="K2733" s="4" t="s">
        <v>8723</v>
      </c>
      <c r="L2733" s="5">
        <v>47150</v>
      </c>
    </row>
    <row r="2734" spans="1:12" x14ac:dyDescent="0.25">
      <c r="A2734" s="3" t="s">
        <v>8648</v>
      </c>
      <c r="B2734" s="4" t="s">
        <v>8649</v>
      </c>
      <c r="C2734" s="4" t="s">
        <v>14</v>
      </c>
      <c r="D2734" s="4" t="s">
        <v>15</v>
      </c>
      <c r="E2734" s="5" t="str">
        <f>"9040146"</f>
        <v>9040146</v>
      </c>
      <c r="F2734" s="3" t="s">
        <v>8724</v>
      </c>
      <c r="G2734" s="5">
        <v>2681051389</v>
      </c>
      <c r="H2734" s="4" t="s">
        <v>8725</v>
      </c>
      <c r="I2734" s="4" t="s">
        <v>8652</v>
      </c>
      <c r="J2734" s="4" t="s">
        <v>8726</v>
      </c>
      <c r="K2734" s="4" t="s">
        <v>8726</v>
      </c>
      <c r="L2734" s="5">
        <v>47150</v>
      </c>
    </row>
    <row r="2735" spans="1:12" x14ac:dyDescent="0.25">
      <c r="A2735" s="3" t="s">
        <v>8648</v>
      </c>
      <c r="B2735" s="4" t="s">
        <v>8649</v>
      </c>
      <c r="C2735" s="4" t="s">
        <v>14</v>
      </c>
      <c r="D2735" s="4" t="s">
        <v>15</v>
      </c>
      <c r="E2735" s="5" t="str">
        <f>"9040083"</f>
        <v>9040083</v>
      </c>
      <c r="F2735" s="3" t="s">
        <v>8727</v>
      </c>
      <c r="G2735" s="5">
        <v>2681083209</v>
      </c>
      <c r="H2735" s="4" t="s">
        <v>8728</v>
      </c>
      <c r="I2735" s="4" t="s">
        <v>8660</v>
      </c>
      <c r="J2735" s="4" t="s">
        <v>8729</v>
      </c>
      <c r="K2735" s="4" t="s">
        <v>8729</v>
      </c>
      <c r="L2735" s="5">
        <v>47200</v>
      </c>
    </row>
    <row r="2736" spans="1:12" x14ac:dyDescent="0.25">
      <c r="A2736" s="3" t="s">
        <v>8648</v>
      </c>
      <c r="B2736" s="4" t="s">
        <v>8649</v>
      </c>
      <c r="C2736" s="4" t="s">
        <v>14</v>
      </c>
      <c r="D2736" s="4" t="s">
        <v>179</v>
      </c>
      <c r="E2736" s="5" t="str">
        <f>"9040013"</f>
        <v>9040013</v>
      </c>
      <c r="F2736" s="3" t="s">
        <v>8730</v>
      </c>
      <c r="G2736" s="5">
        <v>2681098309</v>
      </c>
      <c r="H2736" s="4" t="s">
        <v>8731</v>
      </c>
      <c r="I2736" s="4" t="s">
        <v>8660</v>
      </c>
      <c r="J2736" s="4" t="s">
        <v>8732</v>
      </c>
      <c r="K2736" s="4" t="s">
        <v>8733</v>
      </c>
      <c r="L2736" s="5">
        <v>47150</v>
      </c>
    </row>
    <row r="2737" spans="1:12" x14ac:dyDescent="0.25">
      <c r="A2737" s="3" t="s">
        <v>8648</v>
      </c>
      <c r="B2737" s="4" t="s">
        <v>8649</v>
      </c>
      <c r="C2737" s="4" t="s">
        <v>14</v>
      </c>
      <c r="D2737" s="4" t="s">
        <v>179</v>
      </c>
      <c r="E2737" s="5" t="str">
        <f>"9040024"</f>
        <v>9040024</v>
      </c>
      <c r="F2737" s="3" t="s">
        <v>8734</v>
      </c>
      <c r="G2737" s="5">
        <v>2681068055</v>
      </c>
      <c r="H2737" s="4" t="s">
        <v>8735</v>
      </c>
      <c r="I2737" s="4" t="s">
        <v>8736</v>
      </c>
      <c r="J2737" s="4" t="s">
        <v>8737</v>
      </c>
      <c r="K2737" s="4" t="s">
        <v>8737</v>
      </c>
      <c r="L2737" s="5">
        <v>47044</v>
      </c>
    </row>
    <row r="2738" spans="1:12" x14ac:dyDescent="0.25">
      <c r="A2738" s="3" t="s">
        <v>8648</v>
      </c>
      <c r="B2738" s="4" t="s">
        <v>8649</v>
      </c>
      <c r="C2738" s="4" t="s">
        <v>25</v>
      </c>
      <c r="D2738" s="4" t="s">
        <v>26</v>
      </c>
      <c r="E2738" s="5" t="str">
        <f>"9040061"</f>
        <v>9040061</v>
      </c>
      <c r="F2738" s="3" t="s">
        <v>8738</v>
      </c>
      <c r="G2738" s="5">
        <v>2681070080</v>
      </c>
      <c r="H2738" s="4" t="s">
        <v>8739</v>
      </c>
      <c r="I2738" s="4" t="s">
        <v>8652</v>
      </c>
      <c r="J2738" s="4" t="s">
        <v>8722</v>
      </c>
      <c r="K2738" s="4" t="s">
        <v>8722</v>
      </c>
      <c r="L2738" s="5">
        <v>47100</v>
      </c>
    </row>
    <row r="2739" spans="1:12" x14ac:dyDescent="0.25">
      <c r="A2739" s="3" t="s">
        <v>8648</v>
      </c>
      <c r="B2739" s="4" t="s">
        <v>8649</v>
      </c>
      <c r="C2739" s="4" t="s">
        <v>14</v>
      </c>
      <c r="D2739" s="4" t="s">
        <v>15</v>
      </c>
      <c r="E2739" s="5" t="str">
        <f>"9040004"</f>
        <v>9040004</v>
      </c>
      <c r="F2739" s="3" t="s">
        <v>8740</v>
      </c>
      <c r="G2739" s="5">
        <v>2681027677</v>
      </c>
      <c r="H2739" s="4" t="s">
        <v>8741</v>
      </c>
      <c r="I2739" s="4" t="s">
        <v>8652</v>
      </c>
      <c r="J2739" s="4" t="s">
        <v>8653</v>
      </c>
      <c r="K2739" s="4" t="s">
        <v>8742</v>
      </c>
      <c r="L2739" s="5">
        <v>47132</v>
      </c>
    </row>
    <row r="2740" spans="1:12" x14ac:dyDescent="0.25">
      <c r="A2740" s="3" t="s">
        <v>8648</v>
      </c>
      <c r="B2740" s="4" t="s">
        <v>8649</v>
      </c>
      <c r="C2740" s="4" t="s">
        <v>14</v>
      </c>
      <c r="D2740" s="4" t="s">
        <v>15</v>
      </c>
      <c r="E2740" s="5" t="str">
        <f>"9040239"</f>
        <v>9040239</v>
      </c>
      <c r="F2740" s="3" t="s">
        <v>8743</v>
      </c>
      <c r="G2740" s="5">
        <v>2681074200</v>
      </c>
      <c r="H2740" s="4" t="s">
        <v>8744</v>
      </c>
      <c r="I2740" s="4" t="s">
        <v>8652</v>
      </c>
      <c r="J2740" s="4" t="s">
        <v>8653</v>
      </c>
      <c r="K2740" s="4" t="s">
        <v>8745</v>
      </c>
      <c r="L2740" s="5">
        <v>47132</v>
      </c>
    </row>
    <row r="2741" spans="1:12" x14ac:dyDescent="0.25">
      <c r="A2741" s="3" t="s">
        <v>8648</v>
      </c>
      <c r="B2741" s="4" t="s">
        <v>8649</v>
      </c>
      <c r="C2741" s="4" t="s">
        <v>25</v>
      </c>
      <c r="D2741" s="4" t="s">
        <v>26</v>
      </c>
      <c r="E2741" s="5" t="str">
        <f>"9040009"</f>
        <v>9040009</v>
      </c>
      <c r="F2741" s="3" t="s">
        <v>8746</v>
      </c>
      <c r="G2741" s="5">
        <v>2681026617</v>
      </c>
      <c r="H2741" s="4" t="s">
        <v>8747</v>
      </c>
      <c r="I2741" s="4" t="s">
        <v>8652</v>
      </c>
      <c r="J2741" s="4" t="s">
        <v>8653</v>
      </c>
      <c r="K2741" s="4" t="s">
        <v>8748</v>
      </c>
      <c r="L2741" s="5">
        <v>47100</v>
      </c>
    </row>
    <row r="2742" spans="1:12" x14ac:dyDescent="0.25">
      <c r="A2742" s="3" t="s">
        <v>8648</v>
      </c>
      <c r="B2742" s="4" t="s">
        <v>8649</v>
      </c>
      <c r="C2742" s="4" t="s">
        <v>14</v>
      </c>
      <c r="D2742" s="4" t="s">
        <v>15</v>
      </c>
      <c r="E2742" s="5" t="str">
        <f>"9040081"</f>
        <v>9040081</v>
      </c>
      <c r="F2742" s="3" t="s">
        <v>8749</v>
      </c>
      <c r="G2742" s="5">
        <v>2681083969</v>
      </c>
      <c r="H2742" s="4" t="s">
        <v>8750</v>
      </c>
      <c r="I2742" s="4" t="s">
        <v>8660</v>
      </c>
      <c r="J2742" s="4" t="s">
        <v>4754</v>
      </c>
      <c r="K2742" s="4" t="s">
        <v>8751</v>
      </c>
      <c r="L2742" s="5">
        <v>47150</v>
      </c>
    </row>
    <row r="2743" spans="1:12" x14ac:dyDescent="0.25">
      <c r="A2743" s="3" t="s">
        <v>8648</v>
      </c>
      <c r="B2743" s="4" t="s">
        <v>8649</v>
      </c>
      <c r="C2743" s="4" t="s">
        <v>14</v>
      </c>
      <c r="D2743" s="4" t="s">
        <v>15</v>
      </c>
      <c r="E2743" s="5" t="str">
        <f>"9040076"</f>
        <v>9040076</v>
      </c>
      <c r="F2743" s="3" t="s">
        <v>8752</v>
      </c>
      <c r="G2743" s="5">
        <v>2681087253</v>
      </c>
      <c r="H2743" s="4" t="s">
        <v>8753</v>
      </c>
      <c r="I2743" s="4" t="s">
        <v>8660</v>
      </c>
      <c r="J2743" s="4" t="s">
        <v>8754</v>
      </c>
      <c r="K2743" s="4" t="s">
        <v>8755</v>
      </c>
      <c r="L2743" s="5">
        <v>47041</v>
      </c>
    </row>
    <row r="2744" spans="1:12" x14ac:dyDescent="0.25">
      <c r="A2744" s="3" t="s">
        <v>8648</v>
      </c>
      <c r="B2744" s="4" t="s">
        <v>8756</v>
      </c>
      <c r="C2744" s="4" t="s">
        <v>25</v>
      </c>
      <c r="D2744" s="4" t="s">
        <v>26</v>
      </c>
      <c r="E2744" s="5" t="str">
        <f>"9180236"</f>
        <v>9180236</v>
      </c>
      <c r="F2744" s="3" t="s">
        <v>8757</v>
      </c>
      <c r="G2744" s="5">
        <v>2665024549</v>
      </c>
      <c r="H2744" s="4" t="s">
        <v>8758</v>
      </c>
      <c r="I2744" s="4" t="s">
        <v>8759</v>
      </c>
      <c r="J2744" s="4" t="s">
        <v>8759</v>
      </c>
      <c r="K2744" s="4" t="s">
        <v>8760</v>
      </c>
      <c r="L2744" s="5">
        <v>46100</v>
      </c>
    </row>
    <row r="2745" spans="1:12" x14ac:dyDescent="0.25">
      <c r="A2745" s="3" t="s">
        <v>8648</v>
      </c>
      <c r="B2745" s="4" t="s">
        <v>8756</v>
      </c>
      <c r="C2745" s="4" t="s">
        <v>25</v>
      </c>
      <c r="D2745" s="4" t="s">
        <v>26</v>
      </c>
      <c r="E2745" s="5" t="str">
        <f>"9180204"</f>
        <v>9180204</v>
      </c>
      <c r="F2745" s="3" t="s">
        <v>8761</v>
      </c>
      <c r="G2745" s="5">
        <v>2665400098</v>
      </c>
      <c r="H2745" s="4" t="s">
        <v>8762</v>
      </c>
      <c r="I2745" s="4" t="s">
        <v>8759</v>
      </c>
      <c r="J2745" s="4" t="s">
        <v>8763</v>
      </c>
      <c r="K2745" s="4" t="s">
        <v>8764</v>
      </c>
      <c r="L2745" s="5">
        <v>46100</v>
      </c>
    </row>
    <row r="2746" spans="1:12" x14ac:dyDescent="0.25">
      <c r="A2746" s="3" t="s">
        <v>8648</v>
      </c>
      <c r="B2746" s="4" t="s">
        <v>8756</v>
      </c>
      <c r="C2746" s="4" t="s">
        <v>25</v>
      </c>
      <c r="D2746" s="4" t="s">
        <v>26</v>
      </c>
      <c r="E2746" s="5" t="str">
        <f>"9180026"</f>
        <v>9180026</v>
      </c>
      <c r="F2746" s="3" t="s">
        <v>8765</v>
      </c>
      <c r="G2746" s="5">
        <v>2665029578</v>
      </c>
      <c r="H2746" s="4" t="s">
        <v>8766</v>
      </c>
      <c r="I2746" s="4" t="s">
        <v>8759</v>
      </c>
      <c r="J2746" s="4" t="s">
        <v>8767</v>
      </c>
      <c r="K2746" s="4" t="s">
        <v>8768</v>
      </c>
      <c r="L2746" s="5">
        <v>46100</v>
      </c>
    </row>
    <row r="2747" spans="1:12" ht="30" x14ac:dyDescent="0.25">
      <c r="A2747" s="3" t="s">
        <v>8648</v>
      </c>
      <c r="B2747" s="4" t="s">
        <v>8756</v>
      </c>
      <c r="C2747" s="4" t="s">
        <v>14</v>
      </c>
      <c r="D2747" s="4" t="s">
        <v>15</v>
      </c>
      <c r="E2747" s="5" t="str">
        <f>"9180136"</f>
        <v>9180136</v>
      </c>
      <c r="F2747" s="3" t="s">
        <v>8769</v>
      </c>
      <c r="G2747" s="5">
        <v>2664022293</v>
      </c>
      <c r="H2747" s="4" t="s">
        <v>8770</v>
      </c>
      <c r="I2747" s="4" t="s">
        <v>8771</v>
      </c>
      <c r="J2747" s="4" t="s">
        <v>8772</v>
      </c>
      <c r="K2747" s="4" t="s">
        <v>8773</v>
      </c>
      <c r="L2747" s="5">
        <v>46300</v>
      </c>
    </row>
    <row r="2748" spans="1:12" x14ac:dyDescent="0.25">
      <c r="A2748" s="3" t="s">
        <v>8648</v>
      </c>
      <c r="B2748" s="4" t="s">
        <v>8756</v>
      </c>
      <c r="C2748" s="4" t="s">
        <v>14</v>
      </c>
      <c r="D2748" s="4" t="s">
        <v>15</v>
      </c>
      <c r="E2748" s="5" t="str">
        <f>"9180003"</f>
        <v>9180003</v>
      </c>
      <c r="F2748" s="3" t="s">
        <v>8774</v>
      </c>
      <c r="G2748" s="5">
        <v>2665022489</v>
      </c>
      <c r="H2748" s="4" t="s">
        <v>8775</v>
      </c>
      <c r="I2748" s="4" t="s">
        <v>8759</v>
      </c>
      <c r="J2748" s="4" t="s">
        <v>8776</v>
      </c>
      <c r="K2748" s="4" t="s">
        <v>8777</v>
      </c>
      <c r="L2748" s="5">
        <v>46100</v>
      </c>
    </row>
    <row r="2749" spans="1:12" x14ac:dyDescent="0.25">
      <c r="A2749" s="3" t="s">
        <v>8648</v>
      </c>
      <c r="B2749" s="4" t="s">
        <v>8756</v>
      </c>
      <c r="C2749" s="4" t="s">
        <v>14</v>
      </c>
      <c r="D2749" s="4" t="s">
        <v>15</v>
      </c>
      <c r="E2749" s="5" t="str">
        <f>"9180205"</f>
        <v>9180205</v>
      </c>
      <c r="F2749" s="3" t="s">
        <v>8778</v>
      </c>
      <c r="G2749" s="5">
        <v>2665022720</v>
      </c>
      <c r="H2749" s="4" t="s">
        <v>8779</v>
      </c>
      <c r="I2749" s="4" t="s">
        <v>8759</v>
      </c>
      <c r="J2749" s="4" t="s">
        <v>8776</v>
      </c>
      <c r="K2749" s="4" t="s">
        <v>8780</v>
      </c>
      <c r="L2749" s="5">
        <v>46100</v>
      </c>
    </row>
    <row r="2750" spans="1:12" x14ac:dyDescent="0.25">
      <c r="A2750" s="3" t="s">
        <v>8648</v>
      </c>
      <c r="B2750" s="4" t="s">
        <v>8756</v>
      </c>
      <c r="C2750" s="4" t="s">
        <v>25</v>
      </c>
      <c r="D2750" s="4" t="s">
        <v>26</v>
      </c>
      <c r="E2750" s="5" t="str">
        <f>"9180002"</f>
        <v>9180002</v>
      </c>
      <c r="F2750" s="3" t="s">
        <v>8781</v>
      </c>
      <c r="G2750" s="5">
        <v>2665024435</v>
      </c>
      <c r="H2750" s="4" t="s">
        <v>8782</v>
      </c>
      <c r="I2750" s="4" t="s">
        <v>8759</v>
      </c>
      <c r="J2750" s="4" t="s">
        <v>8759</v>
      </c>
      <c r="K2750" s="4" t="s">
        <v>8783</v>
      </c>
      <c r="L2750" s="5">
        <v>46100</v>
      </c>
    </row>
    <row r="2751" spans="1:12" x14ac:dyDescent="0.25">
      <c r="A2751" s="3" t="s">
        <v>8648</v>
      </c>
      <c r="B2751" s="4" t="s">
        <v>8756</v>
      </c>
      <c r="C2751" s="4" t="s">
        <v>25</v>
      </c>
      <c r="D2751" s="4" t="s">
        <v>26</v>
      </c>
      <c r="E2751" s="5" t="str">
        <f>"9180249"</f>
        <v>9180249</v>
      </c>
      <c r="F2751" s="3" t="s">
        <v>8784</v>
      </c>
      <c r="G2751" s="5">
        <v>2666024841</v>
      </c>
      <c r="H2751" s="4" t="s">
        <v>8785</v>
      </c>
      <c r="I2751" s="4" t="s">
        <v>8786</v>
      </c>
      <c r="J2751" s="4" t="s">
        <v>8787</v>
      </c>
      <c r="K2751" s="4" t="s">
        <v>8788</v>
      </c>
      <c r="L2751" s="5">
        <v>46200</v>
      </c>
    </row>
    <row r="2752" spans="1:12" x14ac:dyDescent="0.25">
      <c r="A2752" s="3" t="s">
        <v>8648</v>
      </c>
      <c r="B2752" s="4" t="s">
        <v>8756</v>
      </c>
      <c r="C2752" s="4" t="s">
        <v>14</v>
      </c>
      <c r="D2752" s="4" t="s">
        <v>15</v>
      </c>
      <c r="E2752" s="5" t="str">
        <f>"9180029"</f>
        <v>9180029</v>
      </c>
      <c r="F2752" s="3" t="s">
        <v>8789</v>
      </c>
      <c r="G2752" s="5">
        <v>2665071286</v>
      </c>
      <c r="H2752" s="4" t="s">
        <v>8790</v>
      </c>
      <c r="I2752" s="4" t="s">
        <v>8759</v>
      </c>
      <c r="J2752" s="4" t="s">
        <v>8791</v>
      </c>
      <c r="K2752" s="4" t="s">
        <v>8792</v>
      </c>
      <c r="L2752" s="5">
        <v>46100</v>
      </c>
    </row>
    <row r="2753" spans="1:12" x14ac:dyDescent="0.25">
      <c r="A2753" s="3" t="s">
        <v>8648</v>
      </c>
      <c r="B2753" s="4" t="s">
        <v>8756</v>
      </c>
      <c r="C2753" s="4" t="s">
        <v>14</v>
      </c>
      <c r="D2753" s="4" t="s">
        <v>15</v>
      </c>
      <c r="E2753" s="5" t="str">
        <f>"9180016"</f>
        <v>9180016</v>
      </c>
      <c r="F2753" s="3" t="s">
        <v>8793</v>
      </c>
      <c r="G2753" s="5">
        <v>2665360538</v>
      </c>
      <c r="H2753" s="4" t="s">
        <v>8794</v>
      </c>
      <c r="I2753" s="4" t="s">
        <v>8759</v>
      </c>
      <c r="J2753" s="4" t="s">
        <v>8795</v>
      </c>
      <c r="K2753" s="4" t="s">
        <v>8796</v>
      </c>
      <c r="L2753" s="5">
        <v>46100</v>
      </c>
    </row>
    <row r="2754" spans="1:12" x14ac:dyDescent="0.25">
      <c r="A2754" s="3" t="s">
        <v>8648</v>
      </c>
      <c r="B2754" s="4" t="s">
        <v>8756</v>
      </c>
      <c r="C2754" s="4" t="s">
        <v>14</v>
      </c>
      <c r="D2754" s="4" t="s">
        <v>15</v>
      </c>
      <c r="E2754" s="5" t="str">
        <f>"9180025"</f>
        <v>9180025</v>
      </c>
      <c r="F2754" s="3" t="s">
        <v>8797</v>
      </c>
      <c r="G2754" s="5">
        <v>2665022514</v>
      </c>
      <c r="H2754" s="4" t="s">
        <v>8798</v>
      </c>
      <c r="I2754" s="4" t="s">
        <v>8759</v>
      </c>
      <c r="J2754" s="4" t="s">
        <v>8768</v>
      </c>
      <c r="K2754" s="4" t="s">
        <v>8799</v>
      </c>
      <c r="L2754" s="5">
        <v>46100</v>
      </c>
    </row>
    <row r="2755" spans="1:12" x14ac:dyDescent="0.25">
      <c r="A2755" s="3" t="s">
        <v>8648</v>
      </c>
      <c r="B2755" s="4" t="s">
        <v>8756</v>
      </c>
      <c r="C2755" s="4" t="s">
        <v>14</v>
      </c>
      <c r="D2755" s="4" t="s">
        <v>15</v>
      </c>
      <c r="E2755" s="5" t="str">
        <f>"9180229"</f>
        <v>9180229</v>
      </c>
      <c r="F2755" s="3" t="s">
        <v>8800</v>
      </c>
      <c r="G2755" s="5">
        <v>2665024824</v>
      </c>
      <c r="H2755" s="4" t="s">
        <v>8801</v>
      </c>
      <c r="I2755" s="4" t="s">
        <v>8759</v>
      </c>
      <c r="J2755" s="4" t="s">
        <v>8776</v>
      </c>
      <c r="K2755" s="4" t="s">
        <v>8783</v>
      </c>
      <c r="L2755" s="5">
        <v>46100</v>
      </c>
    </row>
    <row r="2756" spans="1:12" x14ac:dyDescent="0.25">
      <c r="A2756" s="3" t="s">
        <v>8648</v>
      </c>
      <c r="B2756" s="4" t="s">
        <v>8756</v>
      </c>
      <c r="C2756" s="4" t="s">
        <v>14</v>
      </c>
      <c r="D2756" s="4" t="s">
        <v>15</v>
      </c>
      <c r="E2756" s="5" t="str">
        <f>"9180030"</f>
        <v>9180030</v>
      </c>
      <c r="F2756" s="3" t="s">
        <v>8802</v>
      </c>
      <c r="G2756" s="5">
        <v>2665093244</v>
      </c>
      <c r="H2756" s="4" t="s">
        <v>8803</v>
      </c>
      <c r="I2756" s="4" t="s">
        <v>8759</v>
      </c>
      <c r="J2756" s="4" t="s">
        <v>8804</v>
      </c>
      <c r="K2756" s="4" t="s">
        <v>8805</v>
      </c>
      <c r="L2756" s="5">
        <v>46100</v>
      </c>
    </row>
    <row r="2757" spans="1:12" x14ac:dyDescent="0.25">
      <c r="A2757" s="3" t="s">
        <v>8648</v>
      </c>
      <c r="B2757" s="4" t="s">
        <v>8756</v>
      </c>
      <c r="C2757" s="4" t="s">
        <v>14</v>
      </c>
      <c r="D2757" s="4" t="s">
        <v>15</v>
      </c>
      <c r="E2757" s="5" t="str">
        <f>"9180005"</f>
        <v>9180005</v>
      </c>
      <c r="F2757" s="3" t="s">
        <v>8806</v>
      </c>
      <c r="G2757" s="5">
        <v>2665022293</v>
      </c>
      <c r="H2757" s="4" t="s">
        <v>8807</v>
      </c>
      <c r="I2757" s="4" t="s">
        <v>8759</v>
      </c>
      <c r="J2757" s="4" t="s">
        <v>8776</v>
      </c>
      <c r="K2757" s="4" t="s">
        <v>8808</v>
      </c>
      <c r="L2757" s="5">
        <v>46100</v>
      </c>
    </row>
    <row r="2758" spans="1:12" x14ac:dyDescent="0.25">
      <c r="A2758" s="3" t="s">
        <v>8648</v>
      </c>
      <c r="B2758" s="4" t="s">
        <v>8756</v>
      </c>
      <c r="C2758" s="4" t="s">
        <v>14</v>
      </c>
      <c r="D2758" s="4" t="s">
        <v>15</v>
      </c>
      <c r="E2758" s="5" t="str">
        <f>"9180049"</f>
        <v>9180049</v>
      </c>
      <c r="F2758" s="3" t="s">
        <v>8809</v>
      </c>
      <c r="G2758" s="5">
        <v>2665091281</v>
      </c>
      <c r="H2758" s="4" t="s">
        <v>8810</v>
      </c>
      <c r="I2758" s="4" t="s">
        <v>8759</v>
      </c>
      <c r="J2758" s="4" t="s">
        <v>8811</v>
      </c>
      <c r="K2758" s="4" t="s">
        <v>8812</v>
      </c>
      <c r="L2758" s="5">
        <v>46100</v>
      </c>
    </row>
    <row r="2759" spans="1:12" x14ac:dyDescent="0.25">
      <c r="A2759" s="3" t="s">
        <v>8648</v>
      </c>
      <c r="B2759" s="4" t="s">
        <v>8756</v>
      </c>
      <c r="C2759" s="4" t="s">
        <v>14</v>
      </c>
      <c r="D2759" s="4" t="s">
        <v>15</v>
      </c>
      <c r="E2759" s="5" t="str">
        <f>"9180069"</f>
        <v>9180069</v>
      </c>
      <c r="F2759" s="3" t="s">
        <v>8813</v>
      </c>
      <c r="G2759" s="5">
        <v>2666049001</v>
      </c>
      <c r="H2759" s="4" t="s">
        <v>8814</v>
      </c>
      <c r="I2759" s="4" t="s">
        <v>8786</v>
      </c>
      <c r="J2759" s="4" t="s">
        <v>8815</v>
      </c>
      <c r="K2759" s="4" t="s">
        <v>8815</v>
      </c>
      <c r="L2759" s="5">
        <v>46200</v>
      </c>
    </row>
    <row r="2760" spans="1:12" x14ac:dyDescent="0.25">
      <c r="A2760" s="3" t="s">
        <v>8648</v>
      </c>
      <c r="B2760" s="4" t="s">
        <v>8756</v>
      </c>
      <c r="C2760" s="4" t="s">
        <v>14</v>
      </c>
      <c r="D2760" s="4" t="s">
        <v>15</v>
      </c>
      <c r="E2760" s="5" t="str">
        <f>"9180138"</f>
        <v>9180138</v>
      </c>
      <c r="F2760" s="3" t="s">
        <v>8816</v>
      </c>
      <c r="G2760" s="5">
        <v>2664022348</v>
      </c>
      <c r="H2760" s="4" t="s">
        <v>8817</v>
      </c>
      <c r="I2760" s="4" t="s">
        <v>8771</v>
      </c>
      <c r="J2760" s="4" t="s">
        <v>8772</v>
      </c>
      <c r="K2760" s="4" t="s">
        <v>8772</v>
      </c>
      <c r="L2760" s="5">
        <v>46300</v>
      </c>
    </row>
    <row r="2761" spans="1:12" x14ac:dyDescent="0.25">
      <c r="A2761" s="3" t="s">
        <v>8648</v>
      </c>
      <c r="B2761" s="4" t="s">
        <v>8756</v>
      </c>
      <c r="C2761" s="4" t="s">
        <v>14</v>
      </c>
      <c r="D2761" s="4" t="s">
        <v>15</v>
      </c>
      <c r="E2761" s="5" t="str">
        <f>"9180058"</f>
        <v>9180058</v>
      </c>
      <c r="F2761" s="3" t="s">
        <v>8818</v>
      </c>
      <c r="G2761" s="5">
        <v>2666022240</v>
      </c>
      <c r="H2761" s="4" t="s">
        <v>8819</v>
      </c>
      <c r="I2761" s="4" t="s">
        <v>8786</v>
      </c>
      <c r="J2761" s="4" t="s">
        <v>8820</v>
      </c>
      <c r="K2761" s="4" t="s">
        <v>8821</v>
      </c>
      <c r="L2761" s="5">
        <v>46200</v>
      </c>
    </row>
    <row r="2762" spans="1:12" x14ac:dyDescent="0.25">
      <c r="A2762" s="3" t="s">
        <v>8648</v>
      </c>
      <c r="B2762" s="4" t="s">
        <v>8756</v>
      </c>
      <c r="C2762" s="4" t="s">
        <v>14</v>
      </c>
      <c r="D2762" s="4" t="s">
        <v>15</v>
      </c>
      <c r="E2762" s="5" t="str">
        <f>"9521679"</f>
        <v>9521679</v>
      </c>
      <c r="F2762" s="3" t="s">
        <v>8822</v>
      </c>
      <c r="G2762" s="5">
        <v>2665028971</v>
      </c>
      <c r="H2762" s="4" t="s">
        <v>8823</v>
      </c>
      <c r="I2762" s="4" t="s">
        <v>8759</v>
      </c>
      <c r="J2762" s="4" t="s">
        <v>8776</v>
      </c>
      <c r="K2762" s="4" t="s">
        <v>8824</v>
      </c>
      <c r="L2762" s="5">
        <v>46100</v>
      </c>
    </row>
    <row r="2763" spans="1:12" x14ac:dyDescent="0.25">
      <c r="A2763" s="3" t="s">
        <v>8648</v>
      </c>
      <c r="B2763" s="4" t="s">
        <v>8825</v>
      </c>
      <c r="C2763" s="4" t="s">
        <v>25</v>
      </c>
      <c r="D2763" s="4" t="s">
        <v>26</v>
      </c>
      <c r="E2763" s="5" t="str">
        <f>"9200492"</f>
        <v>9200492</v>
      </c>
      <c r="F2763" s="3" t="s">
        <v>8826</v>
      </c>
      <c r="G2763" s="5">
        <v>2651073288</v>
      </c>
      <c r="H2763" s="4" t="s">
        <v>8827</v>
      </c>
      <c r="I2763" s="4" t="s">
        <v>8828</v>
      </c>
      <c r="J2763" s="4" t="s">
        <v>8829</v>
      </c>
      <c r="K2763" s="4" t="s">
        <v>8830</v>
      </c>
      <c r="L2763" s="5">
        <v>45221</v>
      </c>
    </row>
    <row r="2764" spans="1:12" x14ac:dyDescent="0.25">
      <c r="A2764" s="3" t="s">
        <v>8648</v>
      </c>
      <c r="B2764" s="4" t="s">
        <v>8825</v>
      </c>
      <c r="C2764" s="4" t="s">
        <v>25</v>
      </c>
      <c r="D2764" s="4" t="s">
        <v>26</v>
      </c>
      <c r="E2764" s="5" t="str">
        <f>"9200540"</f>
        <v>9200540</v>
      </c>
      <c r="F2764" s="3" t="s">
        <v>8831</v>
      </c>
      <c r="G2764" s="5">
        <v>2651037562</v>
      </c>
      <c r="H2764" s="4" t="s">
        <v>8832</v>
      </c>
      <c r="I2764" s="4" t="s">
        <v>8828</v>
      </c>
      <c r="J2764" s="4" t="s">
        <v>8829</v>
      </c>
      <c r="K2764" s="4" t="s">
        <v>8833</v>
      </c>
      <c r="L2764" s="5">
        <v>45333</v>
      </c>
    </row>
    <row r="2765" spans="1:12" x14ac:dyDescent="0.25">
      <c r="A2765" s="3" t="s">
        <v>8648</v>
      </c>
      <c r="B2765" s="4" t="s">
        <v>8825</v>
      </c>
      <c r="C2765" s="4" t="s">
        <v>25</v>
      </c>
      <c r="D2765" s="4" t="s">
        <v>26</v>
      </c>
      <c r="E2765" s="5" t="str">
        <f>"9200571"</f>
        <v>9200571</v>
      </c>
      <c r="F2765" s="3" t="s">
        <v>8834</v>
      </c>
      <c r="G2765" s="5">
        <v>2651064415</v>
      </c>
      <c r="H2765" s="4" t="s">
        <v>8835</v>
      </c>
      <c r="I2765" s="4" t="s">
        <v>8828</v>
      </c>
      <c r="J2765" s="4" t="s">
        <v>8829</v>
      </c>
      <c r="K2765" s="4" t="s">
        <v>8836</v>
      </c>
      <c r="L2765" s="5">
        <v>45333</v>
      </c>
    </row>
    <row r="2766" spans="1:12" x14ac:dyDescent="0.25">
      <c r="A2766" s="3" t="s">
        <v>8648</v>
      </c>
      <c r="B2766" s="4" t="s">
        <v>8825</v>
      </c>
      <c r="C2766" s="4" t="s">
        <v>25</v>
      </c>
      <c r="D2766" s="4" t="s">
        <v>26</v>
      </c>
      <c r="E2766" s="5" t="str">
        <f>"9200297"</f>
        <v>9200297</v>
      </c>
      <c r="F2766" s="3" t="s">
        <v>8837</v>
      </c>
      <c r="G2766" s="5">
        <v>2655022566</v>
      </c>
      <c r="H2766" s="4" t="s">
        <v>8838</v>
      </c>
      <c r="I2766" s="4" t="s">
        <v>8839</v>
      </c>
      <c r="J2766" s="4" t="s">
        <v>8839</v>
      </c>
      <c r="K2766" s="4" t="s">
        <v>8840</v>
      </c>
      <c r="L2766" s="5">
        <v>44100</v>
      </c>
    </row>
    <row r="2767" spans="1:12" x14ac:dyDescent="0.25">
      <c r="A2767" s="3" t="s">
        <v>8648</v>
      </c>
      <c r="B2767" s="4" t="s">
        <v>8825</v>
      </c>
      <c r="C2767" s="4" t="s">
        <v>25</v>
      </c>
      <c r="D2767" s="4" t="s">
        <v>26</v>
      </c>
      <c r="E2767" s="5" t="str">
        <f>"9200111"</f>
        <v>9200111</v>
      </c>
      <c r="F2767" s="3" t="s">
        <v>8841</v>
      </c>
      <c r="G2767" s="5">
        <v>2651048828</v>
      </c>
      <c r="H2767" s="4" t="s">
        <v>8842</v>
      </c>
      <c r="I2767" s="4" t="s">
        <v>8828</v>
      </c>
      <c r="J2767" s="4" t="s">
        <v>8843</v>
      </c>
      <c r="K2767" s="4" t="s">
        <v>8844</v>
      </c>
      <c r="L2767" s="5">
        <v>45221</v>
      </c>
    </row>
    <row r="2768" spans="1:12" x14ac:dyDescent="0.25">
      <c r="A2768" s="3" t="s">
        <v>8648</v>
      </c>
      <c r="B2768" s="4" t="s">
        <v>8825</v>
      </c>
      <c r="C2768" s="4" t="s">
        <v>14</v>
      </c>
      <c r="D2768" s="4" t="s">
        <v>15</v>
      </c>
      <c r="E2768" s="5" t="str">
        <f>"9200506"</f>
        <v>9200506</v>
      </c>
      <c r="F2768" s="3" t="s">
        <v>8845</v>
      </c>
      <c r="G2768" s="5">
        <v>2651049625</v>
      </c>
      <c r="H2768" s="4" t="s">
        <v>8846</v>
      </c>
      <c r="I2768" s="4" t="s">
        <v>8828</v>
      </c>
      <c r="J2768" s="4" t="s">
        <v>8847</v>
      </c>
      <c r="K2768" s="4" t="s">
        <v>8848</v>
      </c>
      <c r="L2768" s="5">
        <v>45332</v>
      </c>
    </row>
    <row r="2769" spans="1:12" x14ac:dyDescent="0.25">
      <c r="A2769" s="3" t="s">
        <v>8648</v>
      </c>
      <c r="B2769" s="4" t="s">
        <v>8825</v>
      </c>
      <c r="C2769" s="4" t="s">
        <v>25</v>
      </c>
      <c r="D2769" s="4" t="s">
        <v>26</v>
      </c>
      <c r="E2769" s="5" t="str">
        <f>"9200422"</f>
        <v>9200422</v>
      </c>
      <c r="F2769" s="3" t="s">
        <v>8849</v>
      </c>
      <c r="G2769" s="5">
        <v>2651046788</v>
      </c>
      <c r="H2769" s="4" t="s">
        <v>8850</v>
      </c>
      <c r="I2769" s="4" t="s">
        <v>8828</v>
      </c>
      <c r="J2769" s="4" t="s">
        <v>8829</v>
      </c>
      <c r="K2769" s="4" t="s">
        <v>8851</v>
      </c>
      <c r="L2769" s="5">
        <v>45332</v>
      </c>
    </row>
    <row r="2770" spans="1:12" x14ac:dyDescent="0.25">
      <c r="A2770" s="3" t="s">
        <v>8648</v>
      </c>
      <c r="B2770" s="4" t="s">
        <v>8825</v>
      </c>
      <c r="C2770" s="4" t="s">
        <v>25</v>
      </c>
      <c r="D2770" s="4" t="s">
        <v>26</v>
      </c>
      <c r="E2770" s="5" t="str">
        <f>"9200099"</f>
        <v>9200099</v>
      </c>
      <c r="F2770" s="3" t="s">
        <v>8852</v>
      </c>
      <c r="G2770" s="5">
        <v>2651066282</v>
      </c>
      <c r="H2770" s="4" t="s">
        <v>8853</v>
      </c>
      <c r="I2770" s="4" t="s">
        <v>8828</v>
      </c>
      <c r="J2770" s="4" t="s">
        <v>8829</v>
      </c>
      <c r="K2770" s="4" t="s">
        <v>8854</v>
      </c>
      <c r="L2770" s="5">
        <v>45332</v>
      </c>
    </row>
    <row r="2771" spans="1:12" x14ac:dyDescent="0.25">
      <c r="A2771" s="3" t="s">
        <v>8648</v>
      </c>
      <c r="B2771" s="4" t="s">
        <v>8825</v>
      </c>
      <c r="C2771" s="4" t="s">
        <v>14</v>
      </c>
      <c r="D2771" s="4" t="s">
        <v>15</v>
      </c>
      <c r="E2771" s="5" t="str">
        <f>"9200472"</f>
        <v>9200472</v>
      </c>
      <c r="F2771" s="3" t="s">
        <v>8855</v>
      </c>
      <c r="G2771" s="5">
        <v>2651026587</v>
      </c>
      <c r="H2771" s="4" t="s">
        <v>8856</v>
      </c>
      <c r="I2771" s="4" t="s">
        <v>8828</v>
      </c>
      <c r="J2771" s="4" t="s">
        <v>8857</v>
      </c>
      <c r="K2771" s="4" t="s">
        <v>8858</v>
      </c>
      <c r="L2771" s="5">
        <v>45221</v>
      </c>
    </row>
    <row r="2772" spans="1:12" x14ac:dyDescent="0.25">
      <c r="A2772" s="3" t="s">
        <v>8648</v>
      </c>
      <c r="B2772" s="4" t="s">
        <v>8825</v>
      </c>
      <c r="C2772" s="4" t="s">
        <v>25</v>
      </c>
      <c r="D2772" s="4" t="s">
        <v>26</v>
      </c>
      <c r="E2772" s="5" t="str">
        <f>"9200592"</f>
        <v>9200592</v>
      </c>
      <c r="F2772" s="3" t="s">
        <v>8859</v>
      </c>
      <c r="G2772" s="5">
        <v>2651046145</v>
      </c>
      <c r="H2772" s="4" t="s">
        <v>8860</v>
      </c>
      <c r="I2772" s="4" t="s">
        <v>8828</v>
      </c>
      <c r="J2772" s="4" t="s">
        <v>8829</v>
      </c>
      <c r="K2772" s="4" t="s">
        <v>8861</v>
      </c>
      <c r="L2772" s="5">
        <v>45332</v>
      </c>
    </row>
    <row r="2773" spans="1:12" x14ac:dyDescent="0.25">
      <c r="A2773" s="3" t="s">
        <v>8648</v>
      </c>
      <c r="B2773" s="4" t="s">
        <v>8825</v>
      </c>
      <c r="C2773" s="4" t="s">
        <v>14</v>
      </c>
      <c r="D2773" s="4" t="s">
        <v>15</v>
      </c>
      <c r="E2773" s="5" t="str">
        <f>"9200503"</f>
        <v>9200503</v>
      </c>
      <c r="F2773" s="3" t="s">
        <v>8862</v>
      </c>
      <c r="G2773" s="5">
        <v>2651025620</v>
      </c>
      <c r="H2773" s="4" t="s">
        <v>8863</v>
      </c>
      <c r="I2773" s="4" t="s">
        <v>8828</v>
      </c>
      <c r="J2773" s="4" t="s">
        <v>8847</v>
      </c>
      <c r="K2773" s="4" t="s">
        <v>8833</v>
      </c>
      <c r="L2773" s="5">
        <v>45333</v>
      </c>
    </row>
    <row r="2774" spans="1:12" x14ac:dyDescent="0.25">
      <c r="A2774" s="3" t="s">
        <v>8648</v>
      </c>
      <c r="B2774" s="4" t="s">
        <v>8825</v>
      </c>
      <c r="C2774" s="4" t="s">
        <v>25</v>
      </c>
      <c r="D2774" s="4" t="s">
        <v>26</v>
      </c>
      <c r="E2774" s="5" t="str">
        <f>"9200570"</f>
        <v>9200570</v>
      </c>
      <c r="F2774" s="3" t="s">
        <v>8864</v>
      </c>
      <c r="G2774" s="5">
        <v>2651046420</v>
      </c>
      <c r="H2774" s="4" t="s">
        <v>8865</v>
      </c>
      <c r="I2774" s="4" t="s">
        <v>8828</v>
      </c>
      <c r="J2774" s="4" t="s">
        <v>8843</v>
      </c>
      <c r="K2774" s="4" t="s">
        <v>8866</v>
      </c>
      <c r="L2774" s="5">
        <v>45221</v>
      </c>
    </row>
    <row r="2775" spans="1:12" x14ac:dyDescent="0.25">
      <c r="A2775" s="3" t="s">
        <v>8648</v>
      </c>
      <c r="B2775" s="4" t="s">
        <v>8825</v>
      </c>
      <c r="C2775" s="4" t="s">
        <v>25</v>
      </c>
      <c r="D2775" s="4" t="s">
        <v>26</v>
      </c>
      <c r="E2775" s="5" t="str">
        <f>"9200262"</f>
        <v>9200262</v>
      </c>
      <c r="F2775" s="3" t="s">
        <v>8867</v>
      </c>
      <c r="G2775" s="5">
        <v>2651092583</v>
      </c>
      <c r="H2775" s="4" t="s">
        <v>8868</v>
      </c>
      <c r="I2775" s="4" t="s">
        <v>8828</v>
      </c>
      <c r="J2775" s="4" t="s">
        <v>8869</v>
      </c>
      <c r="K2775" s="4" t="s">
        <v>8870</v>
      </c>
      <c r="L2775" s="5">
        <v>45500</v>
      </c>
    </row>
    <row r="2776" spans="1:12" x14ac:dyDescent="0.25">
      <c r="A2776" s="3" t="s">
        <v>8648</v>
      </c>
      <c r="B2776" s="4" t="s">
        <v>8825</v>
      </c>
      <c r="C2776" s="4" t="s">
        <v>25</v>
      </c>
      <c r="D2776" s="4" t="s">
        <v>26</v>
      </c>
      <c r="E2776" s="5" t="str">
        <f>"9200481"</f>
        <v>9200481</v>
      </c>
      <c r="F2776" s="3" t="s">
        <v>8871</v>
      </c>
      <c r="G2776" s="5">
        <v>2651047931</v>
      </c>
      <c r="H2776" s="4" t="s">
        <v>8872</v>
      </c>
      <c r="I2776" s="4" t="s">
        <v>8828</v>
      </c>
      <c r="J2776" s="4" t="s">
        <v>8873</v>
      </c>
      <c r="K2776" s="4" t="s">
        <v>8874</v>
      </c>
      <c r="L2776" s="5">
        <v>45500</v>
      </c>
    </row>
    <row r="2777" spans="1:12" x14ac:dyDescent="0.25">
      <c r="A2777" s="3" t="s">
        <v>8648</v>
      </c>
      <c r="B2777" s="4" t="s">
        <v>8825</v>
      </c>
      <c r="C2777" s="4" t="s">
        <v>25</v>
      </c>
      <c r="D2777" s="4" t="s">
        <v>26</v>
      </c>
      <c r="E2777" s="5" t="str">
        <f>"9200454"</f>
        <v>9200454</v>
      </c>
      <c r="F2777" s="3" t="s">
        <v>8875</v>
      </c>
      <c r="G2777" s="5">
        <v>2651062314</v>
      </c>
      <c r="H2777" s="4" t="s">
        <v>8876</v>
      </c>
      <c r="I2777" s="4" t="s">
        <v>8877</v>
      </c>
      <c r="J2777" s="4" t="s">
        <v>8878</v>
      </c>
      <c r="K2777" s="4" t="s">
        <v>8879</v>
      </c>
      <c r="L2777" s="5">
        <v>45500</v>
      </c>
    </row>
    <row r="2778" spans="1:12" x14ac:dyDescent="0.25">
      <c r="A2778" s="3" t="s">
        <v>8648</v>
      </c>
      <c r="B2778" s="4" t="s">
        <v>8825</v>
      </c>
      <c r="C2778" s="4" t="s">
        <v>25</v>
      </c>
      <c r="D2778" s="4" t="s">
        <v>26</v>
      </c>
      <c r="E2778" s="5" t="str">
        <f>"9200433"</f>
        <v>9200433</v>
      </c>
      <c r="F2778" s="3" t="s">
        <v>8880</v>
      </c>
      <c r="G2778" s="5">
        <v>2651077465</v>
      </c>
      <c r="H2778" s="4" t="s">
        <v>8881</v>
      </c>
      <c r="I2778" s="4" t="s">
        <v>8828</v>
      </c>
      <c r="J2778" s="4" t="s">
        <v>8829</v>
      </c>
      <c r="K2778" s="4" t="s">
        <v>8882</v>
      </c>
      <c r="L2778" s="5">
        <v>45221</v>
      </c>
    </row>
    <row r="2779" spans="1:12" x14ac:dyDescent="0.25">
      <c r="A2779" s="3" t="s">
        <v>8648</v>
      </c>
      <c r="B2779" s="4" t="s">
        <v>8825</v>
      </c>
      <c r="C2779" s="4" t="s">
        <v>14</v>
      </c>
      <c r="D2779" s="4" t="s">
        <v>15</v>
      </c>
      <c r="E2779" s="5" t="str">
        <f>"9200578"</f>
        <v>9200578</v>
      </c>
      <c r="F2779" s="3" t="s">
        <v>8883</v>
      </c>
      <c r="G2779" s="5">
        <v>2651070170</v>
      </c>
      <c r="H2779" s="4" t="s">
        <v>8884</v>
      </c>
      <c r="I2779" s="4" t="s">
        <v>8828</v>
      </c>
      <c r="J2779" s="4" t="s">
        <v>8847</v>
      </c>
      <c r="K2779" s="4" t="s">
        <v>8885</v>
      </c>
      <c r="L2779" s="5">
        <v>45333</v>
      </c>
    </row>
    <row r="2780" spans="1:12" x14ac:dyDescent="0.25">
      <c r="A2780" s="3" t="s">
        <v>8648</v>
      </c>
      <c r="B2780" s="4" t="s">
        <v>8825</v>
      </c>
      <c r="C2780" s="4" t="s">
        <v>14</v>
      </c>
      <c r="D2780" s="4" t="s">
        <v>15</v>
      </c>
      <c r="E2780" s="5" t="str">
        <f>"9200501"</f>
        <v>9200501</v>
      </c>
      <c r="F2780" s="3" t="s">
        <v>8886</v>
      </c>
      <c r="G2780" s="5">
        <v>2651027691</v>
      </c>
      <c r="H2780" s="4" t="s">
        <v>8887</v>
      </c>
      <c r="I2780" s="4" t="s">
        <v>8828</v>
      </c>
      <c r="J2780" s="4" t="s">
        <v>8888</v>
      </c>
      <c r="K2780" s="4" t="s">
        <v>8889</v>
      </c>
      <c r="L2780" s="5">
        <v>45444</v>
      </c>
    </row>
    <row r="2781" spans="1:12" x14ac:dyDescent="0.25">
      <c r="A2781" s="3" t="s">
        <v>8648</v>
      </c>
      <c r="B2781" s="4" t="s">
        <v>8825</v>
      </c>
      <c r="C2781" s="4" t="s">
        <v>14</v>
      </c>
      <c r="D2781" s="4" t="s">
        <v>15</v>
      </c>
      <c r="E2781" s="5" t="str">
        <f>"9200065"</f>
        <v>9200065</v>
      </c>
      <c r="F2781" s="3" t="s">
        <v>8890</v>
      </c>
      <c r="G2781" s="5">
        <v>2651081304</v>
      </c>
      <c r="H2781" s="4" t="s">
        <v>8891</v>
      </c>
      <c r="I2781" s="4" t="s">
        <v>8828</v>
      </c>
      <c r="J2781" s="4" t="s">
        <v>6376</v>
      </c>
      <c r="K2781" s="4" t="s">
        <v>8892</v>
      </c>
      <c r="L2781" s="5">
        <v>45500</v>
      </c>
    </row>
    <row r="2782" spans="1:12" x14ac:dyDescent="0.25">
      <c r="A2782" s="3" t="s">
        <v>8648</v>
      </c>
      <c r="B2782" s="4" t="s">
        <v>8825</v>
      </c>
      <c r="C2782" s="4" t="s">
        <v>25</v>
      </c>
      <c r="D2782" s="4" t="s">
        <v>26</v>
      </c>
      <c r="E2782" s="5" t="str">
        <f>"9200103"</f>
        <v>9200103</v>
      </c>
      <c r="F2782" s="3" t="s">
        <v>8893</v>
      </c>
      <c r="G2782" s="5">
        <v>2651078181</v>
      </c>
      <c r="H2782" s="4" t="s">
        <v>8894</v>
      </c>
      <c r="I2782" s="4" t="s">
        <v>8828</v>
      </c>
      <c r="J2782" s="4" t="s">
        <v>8829</v>
      </c>
      <c r="K2782" s="4" t="s">
        <v>8895</v>
      </c>
      <c r="L2782" s="5">
        <v>45444</v>
      </c>
    </row>
    <row r="2783" spans="1:12" x14ac:dyDescent="0.25">
      <c r="A2783" s="3" t="s">
        <v>8648</v>
      </c>
      <c r="B2783" s="4" t="s">
        <v>8825</v>
      </c>
      <c r="C2783" s="4" t="s">
        <v>25</v>
      </c>
      <c r="D2783" s="4" t="s">
        <v>26</v>
      </c>
      <c r="E2783" s="5" t="str">
        <f>"9200424"</f>
        <v>9200424</v>
      </c>
      <c r="F2783" s="3" t="s">
        <v>8896</v>
      </c>
      <c r="G2783" s="5">
        <v>2651032245</v>
      </c>
      <c r="H2783" s="4" t="s">
        <v>8897</v>
      </c>
      <c r="I2783" s="4" t="s">
        <v>8828</v>
      </c>
      <c r="J2783" s="4" t="s">
        <v>8829</v>
      </c>
      <c r="K2783" s="4" t="s">
        <v>8898</v>
      </c>
      <c r="L2783" s="5">
        <v>45444</v>
      </c>
    </row>
    <row r="2784" spans="1:12" x14ac:dyDescent="0.25">
      <c r="A2784" s="3" t="s">
        <v>8648</v>
      </c>
      <c r="B2784" s="4" t="s">
        <v>8825</v>
      </c>
      <c r="C2784" s="4" t="s">
        <v>25</v>
      </c>
      <c r="D2784" s="4" t="s">
        <v>26</v>
      </c>
      <c r="E2784" s="5" t="str">
        <f>"9200558"</f>
        <v>9200558</v>
      </c>
      <c r="F2784" s="3" t="s">
        <v>8899</v>
      </c>
      <c r="G2784" s="5">
        <v>2651078094</v>
      </c>
      <c r="H2784" s="4" t="s">
        <v>8900</v>
      </c>
      <c r="I2784" s="4" t="s">
        <v>8828</v>
      </c>
      <c r="J2784" s="4" t="s">
        <v>8829</v>
      </c>
      <c r="K2784" s="4" t="s">
        <v>8901</v>
      </c>
      <c r="L2784" s="5">
        <v>45445</v>
      </c>
    </row>
    <row r="2785" spans="1:12" x14ac:dyDescent="0.25">
      <c r="A2785" s="3" t="s">
        <v>8648</v>
      </c>
      <c r="B2785" s="4" t="s">
        <v>8825</v>
      </c>
      <c r="C2785" s="4" t="s">
        <v>25</v>
      </c>
      <c r="D2785" s="4" t="s">
        <v>26</v>
      </c>
      <c r="E2785" s="5" t="str">
        <f>"9200427"</f>
        <v>9200427</v>
      </c>
      <c r="F2785" s="3" t="s">
        <v>8902</v>
      </c>
      <c r="G2785" s="5">
        <v>2651032076</v>
      </c>
      <c r="H2785" s="4" t="s">
        <v>8903</v>
      </c>
      <c r="I2785" s="4" t="s">
        <v>8828</v>
      </c>
      <c r="J2785" s="4" t="s">
        <v>8829</v>
      </c>
      <c r="K2785" s="4" t="s">
        <v>8904</v>
      </c>
      <c r="L2785" s="5">
        <v>45221</v>
      </c>
    </row>
    <row r="2786" spans="1:12" x14ac:dyDescent="0.25">
      <c r="A2786" s="3" t="s">
        <v>8648</v>
      </c>
      <c r="B2786" s="4" t="s">
        <v>8825</v>
      </c>
      <c r="C2786" s="4" t="s">
        <v>25</v>
      </c>
      <c r="D2786" s="4" t="s">
        <v>26</v>
      </c>
      <c r="E2786" s="5" t="str">
        <f>"9200541"</f>
        <v>9200541</v>
      </c>
      <c r="F2786" s="3" t="s">
        <v>8905</v>
      </c>
      <c r="G2786" s="5">
        <v>2651070735</v>
      </c>
      <c r="H2786" s="4" t="s">
        <v>8906</v>
      </c>
      <c r="I2786" s="4" t="s">
        <v>8828</v>
      </c>
      <c r="J2786" s="4" t="s">
        <v>8829</v>
      </c>
      <c r="K2786" s="4" t="s">
        <v>8907</v>
      </c>
      <c r="L2786" s="5">
        <v>45333</v>
      </c>
    </row>
    <row r="2787" spans="1:12" x14ac:dyDescent="0.25">
      <c r="A2787" s="3" t="s">
        <v>8648</v>
      </c>
      <c r="B2787" s="4" t="s">
        <v>8825</v>
      </c>
      <c r="C2787" s="4" t="s">
        <v>25</v>
      </c>
      <c r="D2787" s="4" t="s">
        <v>26</v>
      </c>
      <c r="E2787" s="5" t="str">
        <f>"9200482"</f>
        <v>9200482</v>
      </c>
      <c r="F2787" s="3" t="s">
        <v>8908</v>
      </c>
      <c r="G2787" s="5">
        <v>2651020191</v>
      </c>
      <c r="H2787" s="4" t="s">
        <v>8909</v>
      </c>
      <c r="I2787" s="4" t="s">
        <v>8828</v>
      </c>
      <c r="J2787" s="4" t="s">
        <v>8829</v>
      </c>
      <c r="K2787" s="4" t="s">
        <v>8910</v>
      </c>
      <c r="L2787" s="5">
        <v>45221</v>
      </c>
    </row>
    <row r="2788" spans="1:12" x14ac:dyDescent="0.25">
      <c r="A2788" s="3" t="s">
        <v>8648</v>
      </c>
      <c r="B2788" s="4" t="s">
        <v>8825</v>
      </c>
      <c r="C2788" s="4" t="s">
        <v>14</v>
      </c>
      <c r="D2788" s="4" t="s">
        <v>15</v>
      </c>
      <c r="E2788" s="5" t="str">
        <f>"9200199"</f>
        <v>9200199</v>
      </c>
      <c r="F2788" s="3" t="s">
        <v>8911</v>
      </c>
      <c r="G2788" s="5">
        <v>2651061208</v>
      </c>
      <c r="H2788" s="4" t="s">
        <v>8912</v>
      </c>
      <c r="I2788" s="4" t="s">
        <v>8877</v>
      </c>
      <c r="J2788" s="4" t="s">
        <v>8913</v>
      </c>
      <c r="K2788" s="4" t="s">
        <v>8913</v>
      </c>
      <c r="L2788" s="5">
        <v>45500</v>
      </c>
    </row>
    <row r="2789" spans="1:12" x14ac:dyDescent="0.25">
      <c r="A2789" s="3" t="s">
        <v>8648</v>
      </c>
      <c r="B2789" s="4" t="s">
        <v>8825</v>
      </c>
      <c r="C2789" s="4" t="s">
        <v>25</v>
      </c>
      <c r="D2789" s="4" t="s">
        <v>26</v>
      </c>
      <c r="E2789" s="5" t="str">
        <f>"9200017"</f>
        <v>9200017</v>
      </c>
      <c r="F2789" s="3" t="s">
        <v>8914</v>
      </c>
      <c r="G2789" s="5">
        <v>2651063117</v>
      </c>
      <c r="H2789" s="4" t="s">
        <v>8915</v>
      </c>
      <c r="I2789" s="4" t="s">
        <v>8877</v>
      </c>
      <c r="J2789" s="4" t="s">
        <v>8916</v>
      </c>
      <c r="K2789" s="4" t="s">
        <v>8917</v>
      </c>
      <c r="L2789" s="5">
        <v>45445</v>
      </c>
    </row>
    <row r="2790" spans="1:12" x14ac:dyDescent="0.25">
      <c r="A2790" s="3" t="s">
        <v>8648</v>
      </c>
      <c r="B2790" s="4" t="s">
        <v>8825</v>
      </c>
      <c r="C2790" s="4" t="s">
        <v>14</v>
      </c>
      <c r="D2790" s="4" t="s">
        <v>15</v>
      </c>
      <c r="E2790" s="5" t="str">
        <f>"9200016"</f>
        <v>9200016</v>
      </c>
      <c r="F2790" s="3" t="s">
        <v>8918</v>
      </c>
      <c r="G2790" s="5">
        <v>2651062032</v>
      </c>
      <c r="H2790" s="4" t="s">
        <v>8919</v>
      </c>
      <c r="I2790" s="4" t="s">
        <v>8877</v>
      </c>
      <c r="J2790" s="4" t="s">
        <v>8920</v>
      </c>
      <c r="K2790" s="4" t="s">
        <v>8921</v>
      </c>
      <c r="L2790" s="5">
        <v>45500</v>
      </c>
    </row>
    <row r="2791" spans="1:12" x14ac:dyDescent="0.25">
      <c r="A2791" s="3" t="s">
        <v>8648</v>
      </c>
      <c r="B2791" s="4" t="s">
        <v>8825</v>
      </c>
      <c r="C2791" s="4" t="s">
        <v>14</v>
      </c>
      <c r="D2791" s="4" t="s">
        <v>15</v>
      </c>
      <c r="E2791" s="5" t="str">
        <f>"9200429"</f>
        <v>9200429</v>
      </c>
      <c r="F2791" s="3" t="s">
        <v>8922</v>
      </c>
      <c r="G2791" s="5">
        <v>2651021467</v>
      </c>
      <c r="H2791" s="4" t="s">
        <v>8923</v>
      </c>
      <c r="I2791" s="4" t="s">
        <v>8828</v>
      </c>
      <c r="J2791" s="4" t="s">
        <v>8847</v>
      </c>
      <c r="K2791" s="4" t="s">
        <v>8924</v>
      </c>
      <c r="L2791" s="5">
        <v>45221</v>
      </c>
    </row>
    <row r="2792" spans="1:12" x14ac:dyDescent="0.25">
      <c r="A2792" s="3" t="s">
        <v>8648</v>
      </c>
      <c r="B2792" s="4" t="s">
        <v>8825</v>
      </c>
      <c r="C2792" s="4" t="s">
        <v>25</v>
      </c>
      <c r="D2792" s="4" t="s">
        <v>26</v>
      </c>
      <c r="E2792" s="5" t="str">
        <f>"9200192"</f>
        <v>9200192</v>
      </c>
      <c r="F2792" s="3" t="s">
        <v>8925</v>
      </c>
      <c r="G2792" s="5">
        <v>2651075384</v>
      </c>
      <c r="H2792" s="4" t="s">
        <v>8926</v>
      </c>
      <c r="I2792" s="4" t="s">
        <v>8828</v>
      </c>
      <c r="J2792" s="4" t="s">
        <v>8829</v>
      </c>
      <c r="K2792" s="4" t="s">
        <v>8927</v>
      </c>
      <c r="L2792" s="5">
        <v>45444</v>
      </c>
    </row>
    <row r="2793" spans="1:12" x14ac:dyDescent="0.25">
      <c r="A2793" s="3" t="s">
        <v>8648</v>
      </c>
      <c r="B2793" s="4" t="s">
        <v>8825</v>
      </c>
      <c r="C2793" s="4" t="s">
        <v>14</v>
      </c>
      <c r="D2793" s="4" t="s">
        <v>15</v>
      </c>
      <c r="E2793" s="5" t="str">
        <f>"9200584"</f>
        <v>9200584</v>
      </c>
      <c r="F2793" s="3" t="s">
        <v>8928</v>
      </c>
      <c r="G2793" s="5">
        <v>2651073940</v>
      </c>
      <c r="H2793" s="4" t="s">
        <v>8929</v>
      </c>
      <c r="I2793" s="4" t="s">
        <v>8828</v>
      </c>
      <c r="J2793" s="4" t="s">
        <v>8888</v>
      </c>
      <c r="K2793" s="4" t="s">
        <v>8907</v>
      </c>
      <c r="L2793" s="5">
        <v>45333</v>
      </c>
    </row>
    <row r="2794" spans="1:12" x14ac:dyDescent="0.25">
      <c r="A2794" s="3" t="s">
        <v>8648</v>
      </c>
      <c r="B2794" s="4" t="s">
        <v>8825</v>
      </c>
      <c r="C2794" s="4" t="s">
        <v>14</v>
      </c>
      <c r="D2794" s="4" t="s">
        <v>15</v>
      </c>
      <c r="E2794" s="5" t="str">
        <f>"9200263"</f>
        <v>9200263</v>
      </c>
      <c r="F2794" s="3" t="s">
        <v>8930</v>
      </c>
      <c r="G2794" s="5">
        <v>2651091400</v>
      </c>
      <c r="H2794" s="4" t="s">
        <v>8931</v>
      </c>
      <c r="I2794" s="4" t="s">
        <v>8828</v>
      </c>
      <c r="J2794" s="4" t="s">
        <v>8932</v>
      </c>
      <c r="K2794" s="4" t="s">
        <v>8933</v>
      </c>
      <c r="L2794" s="5">
        <v>45500</v>
      </c>
    </row>
    <row r="2795" spans="1:12" x14ac:dyDescent="0.25">
      <c r="A2795" s="3" t="s">
        <v>8648</v>
      </c>
      <c r="B2795" s="4" t="s">
        <v>8825</v>
      </c>
      <c r="C2795" s="4" t="s">
        <v>14</v>
      </c>
      <c r="D2795" s="4" t="s">
        <v>15</v>
      </c>
      <c r="E2795" s="5" t="str">
        <f>"9200073"</f>
        <v>9200073</v>
      </c>
      <c r="F2795" s="3" t="s">
        <v>8934</v>
      </c>
      <c r="G2795" s="5">
        <v>2651057110</v>
      </c>
      <c r="H2795" s="4" t="s">
        <v>8935</v>
      </c>
      <c r="I2795" s="4" t="s">
        <v>8877</v>
      </c>
      <c r="J2795" s="4" t="s">
        <v>8936</v>
      </c>
      <c r="K2795" s="4" t="s">
        <v>8937</v>
      </c>
      <c r="L2795" s="5">
        <v>45500</v>
      </c>
    </row>
    <row r="2796" spans="1:12" x14ac:dyDescent="0.25">
      <c r="A2796" s="3" t="s">
        <v>8648</v>
      </c>
      <c r="B2796" s="4" t="s">
        <v>8825</v>
      </c>
      <c r="C2796" s="4" t="s">
        <v>14</v>
      </c>
      <c r="D2796" s="4" t="s">
        <v>15</v>
      </c>
      <c r="E2796" s="5" t="str">
        <f>"9200279"</f>
        <v>9200279</v>
      </c>
      <c r="F2796" s="3" t="s">
        <v>8938</v>
      </c>
      <c r="G2796" s="5">
        <v>2651042464</v>
      </c>
      <c r="H2796" s="4" t="s">
        <v>8939</v>
      </c>
      <c r="I2796" s="4" t="s">
        <v>8828</v>
      </c>
      <c r="J2796" s="4" t="s">
        <v>8874</v>
      </c>
      <c r="K2796" s="4" t="s">
        <v>8940</v>
      </c>
      <c r="L2796" s="5">
        <v>45500</v>
      </c>
    </row>
    <row r="2797" spans="1:12" x14ac:dyDescent="0.25">
      <c r="A2797" s="3" t="s">
        <v>8648</v>
      </c>
      <c r="B2797" s="4" t="s">
        <v>8825</v>
      </c>
      <c r="C2797" s="4" t="s">
        <v>25</v>
      </c>
      <c r="D2797" s="4" t="s">
        <v>7493</v>
      </c>
      <c r="E2797" s="5" t="str">
        <f>"9200599"</f>
        <v>9200599</v>
      </c>
      <c r="F2797" s="3" t="s">
        <v>8941</v>
      </c>
      <c r="G2797" s="5">
        <v>2651005464</v>
      </c>
      <c r="H2797" s="4" t="s">
        <v>8942</v>
      </c>
      <c r="I2797" s="4" t="s">
        <v>8828</v>
      </c>
      <c r="J2797" s="4" t="s">
        <v>8829</v>
      </c>
      <c r="K2797" s="4" t="s">
        <v>8943</v>
      </c>
      <c r="L2797" s="5">
        <v>45110</v>
      </c>
    </row>
    <row r="2798" spans="1:12" x14ac:dyDescent="0.25">
      <c r="A2798" s="3" t="s">
        <v>8648</v>
      </c>
      <c r="B2798" s="4" t="s">
        <v>8825</v>
      </c>
      <c r="C2798" s="4" t="s">
        <v>25</v>
      </c>
      <c r="D2798" s="4" t="s">
        <v>26</v>
      </c>
      <c r="E2798" s="5" t="str">
        <f>"9200129"</f>
        <v>9200129</v>
      </c>
      <c r="F2798" s="3" t="s">
        <v>8944</v>
      </c>
      <c r="G2798" s="5">
        <v>2651093006</v>
      </c>
      <c r="H2798" s="4" t="s">
        <v>8945</v>
      </c>
      <c r="I2798" s="4" t="s">
        <v>8828</v>
      </c>
      <c r="J2798" s="4" t="s">
        <v>8946</v>
      </c>
      <c r="K2798" s="4" t="s">
        <v>8947</v>
      </c>
      <c r="L2798" s="5">
        <v>45500</v>
      </c>
    </row>
    <row r="2799" spans="1:12" x14ac:dyDescent="0.25">
      <c r="A2799" s="3" t="s">
        <v>8648</v>
      </c>
      <c r="B2799" s="4" t="s">
        <v>8825</v>
      </c>
      <c r="C2799" s="4" t="s">
        <v>25</v>
      </c>
      <c r="D2799" s="4" t="s">
        <v>26</v>
      </c>
      <c r="E2799" s="5" t="str">
        <f>"9200490"</f>
        <v>9200490</v>
      </c>
      <c r="F2799" s="3" t="s">
        <v>8948</v>
      </c>
      <c r="G2799" s="5">
        <v>2651093006</v>
      </c>
      <c r="H2799" s="4" t="s">
        <v>8949</v>
      </c>
      <c r="I2799" s="4" t="s">
        <v>8828</v>
      </c>
      <c r="J2799" s="4" t="s">
        <v>8946</v>
      </c>
      <c r="K2799" s="4" t="s">
        <v>8947</v>
      </c>
      <c r="L2799" s="5">
        <v>45500</v>
      </c>
    </row>
    <row r="2800" spans="1:12" x14ac:dyDescent="0.25">
      <c r="A2800" s="3" t="s">
        <v>8648</v>
      </c>
      <c r="B2800" s="4" t="s">
        <v>8825</v>
      </c>
      <c r="C2800" s="4" t="s">
        <v>25</v>
      </c>
      <c r="D2800" s="4" t="s">
        <v>26</v>
      </c>
      <c r="E2800" s="5" t="str">
        <f>"9200515"</f>
        <v>9200515</v>
      </c>
      <c r="F2800" s="3" t="s">
        <v>8950</v>
      </c>
      <c r="G2800" s="5">
        <v>2651048006</v>
      </c>
      <c r="H2800" s="4" t="s">
        <v>8951</v>
      </c>
      <c r="I2800" s="4" t="s">
        <v>8828</v>
      </c>
      <c r="J2800" s="4" t="s">
        <v>8843</v>
      </c>
      <c r="K2800" s="4" t="s">
        <v>8952</v>
      </c>
      <c r="L2800" s="5">
        <v>45221</v>
      </c>
    </row>
    <row r="2801" spans="1:12" x14ac:dyDescent="0.25">
      <c r="A2801" s="3" t="s">
        <v>8648</v>
      </c>
      <c r="B2801" s="4" t="s">
        <v>8825</v>
      </c>
      <c r="C2801" s="4" t="s">
        <v>25</v>
      </c>
      <c r="D2801" s="4" t="s">
        <v>26</v>
      </c>
      <c r="E2801" s="5" t="str">
        <f>"9200569"</f>
        <v>9200569</v>
      </c>
      <c r="F2801" s="3" t="s">
        <v>8953</v>
      </c>
      <c r="G2801" s="5">
        <v>2651073024</v>
      </c>
      <c r="H2801" s="4" t="s">
        <v>8954</v>
      </c>
      <c r="I2801" s="4" t="s">
        <v>8828</v>
      </c>
      <c r="J2801" s="4" t="s">
        <v>8829</v>
      </c>
      <c r="K2801" s="4" t="s">
        <v>8955</v>
      </c>
      <c r="L2801" s="5">
        <v>45333</v>
      </c>
    </row>
    <row r="2802" spans="1:12" x14ac:dyDescent="0.25">
      <c r="A2802" s="3" t="s">
        <v>8648</v>
      </c>
      <c r="B2802" s="4" t="s">
        <v>8825</v>
      </c>
      <c r="C2802" s="4" t="s">
        <v>14</v>
      </c>
      <c r="D2802" s="4" t="s">
        <v>15</v>
      </c>
      <c r="E2802" s="5" t="str">
        <f>"9200195"</f>
        <v>9200195</v>
      </c>
      <c r="F2802" s="3" t="s">
        <v>8956</v>
      </c>
      <c r="G2802" s="5">
        <v>2651022566</v>
      </c>
      <c r="H2802" s="4" t="s">
        <v>8957</v>
      </c>
      <c r="I2802" s="4" t="s">
        <v>8828</v>
      </c>
      <c r="J2802" s="4" t="s">
        <v>8847</v>
      </c>
      <c r="K2802" s="4" t="s">
        <v>8958</v>
      </c>
      <c r="L2802" s="5">
        <v>45445</v>
      </c>
    </row>
    <row r="2803" spans="1:12" x14ac:dyDescent="0.25">
      <c r="A2803" s="3" t="s">
        <v>8648</v>
      </c>
      <c r="B2803" s="4" t="s">
        <v>8825</v>
      </c>
      <c r="C2803" s="4" t="s">
        <v>25</v>
      </c>
      <c r="D2803" s="4" t="s">
        <v>26</v>
      </c>
      <c r="E2803" s="5" t="str">
        <f>"9200575"</f>
        <v>9200575</v>
      </c>
      <c r="F2803" s="3" t="s">
        <v>8959</v>
      </c>
      <c r="G2803" s="5">
        <v>2651040481</v>
      </c>
      <c r="H2803" s="4" t="s">
        <v>8960</v>
      </c>
      <c r="I2803" s="4" t="s">
        <v>8828</v>
      </c>
      <c r="J2803" s="4" t="s">
        <v>8829</v>
      </c>
      <c r="K2803" s="4" t="s">
        <v>8961</v>
      </c>
      <c r="L2803" s="5">
        <v>45332</v>
      </c>
    </row>
    <row r="2804" spans="1:12" x14ac:dyDescent="0.25">
      <c r="A2804" s="3" t="s">
        <v>8648</v>
      </c>
      <c r="B2804" s="4" t="s">
        <v>8825</v>
      </c>
      <c r="C2804" s="4" t="s">
        <v>14</v>
      </c>
      <c r="D2804" s="4" t="s">
        <v>15</v>
      </c>
      <c r="E2804" s="5" t="str">
        <f>"9200507"</f>
        <v>9200507</v>
      </c>
      <c r="F2804" s="3" t="s">
        <v>8962</v>
      </c>
      <c r="G2804" s="5">
        <v>2651022325</v>
      </c>
      <c r="H2804" s="4" t="s">
        <v>8963</v>
      </c>
      <c r="I2804" s="4" t="s">
        <v>8828</v>
      </c>
      <c r="J2804" s="4" t="s">
        <v>8847</v>
      </c>
      <c r="K2804" s="4" t="s">
        <v>8964</v>
      </c>
      <c r="L2804" s="5">
        <v>45444</v>
      </c>
    </row>
    <row r="2805" spans="1:12" x14ac:dyDescent="0.25">
      <c r="A2805" s="3" t="s">
        <v>8648</v>
      </c>
      <c r="B2805" s="4" t="s">
        <v>8825</v>
      </c>
      <c r="C2805" s="4" t="s">
        <v>14</v>
      </c>
      <c r="D2805" s="4" t="s">
        <v>15</v>
      </c>
      <c r="E2805" s="5" t="str">
        <f>"9200004"</f>
        <v>9200004</v>
      </c>
      <c r="F2805" s="3" t="s">
        <v>8965</v>
      </c>
      <c r="G2805" s="5">
        <v>2651097430</v>
      </c>
      <c r="H2805" s="4" t="s">
        <v>8966</v>
      </c>
      <c r="I2805" s="4" t="s">
        <v>8828</v>
      </c>
      <c r="J2805" s="4" t="s">
        <v>8967</v>
      </c>
      <c r="K2805" s="4" t="s">
        <v>8968</v>
      </c>
      <c r="L2805" s="5">
        <v>45221</v>
      </c>
    </row>
    <row r="2806" spans="1:12" x14ac:dyDescent="0.25">
      <c r="A2806" s="3" t="s">
        <v>8648</v>
      </c>
      <c r="B2806" s="4" t="s">
        <v>8825</v>
      </c>
      <c r="C2806" s="4" t="s">
        <v>14</v>
      </c>
      <c r="D2806" s="4" t="s">
        <v>15</v>
      </c>
      <c r="E2806" s="5" t="str">
        <f>"9200543"</f>
        <v>9200543</v>
      </c>
      <c r="F2806" s="3" t="s">
        <v>8969</v>
      </c>
      <c r="G2806" s="5">
        <v>2651038844</v>
      </c>
      <c r="H2806" s="4" t="s">
        <v>8970</v>
      </c>
      <c r="I2806" s="4" t="s">
        <v>8828</v>
      </c>
      <c r="J2806" s="4" t="s">
        <v>8847</v>
      </c>
      <c r="K2806" s="4" t="s">
        <v>8971</v>
      </c>
      <c r="L2806" s="5">
        <v>45333</v>
      </c>
    </row>
    <row r="2807" spans="1:12" x14ac:dyDescent="0.25">
      <c r="A2807" s="3" t="s">
        <v>8648</v>
      </c>
      <c r="B2807" s="4" t="s">
        <v>8825</v>
      </c>
      <c r="C2807" s="4" t="s">
        <v>25</v>
      </c>
      <c r="D2807" s="4" t="s">
        <v>26</v>
      </c>
      <c r="E2807" s="5" t="str">
        <f>"9200459"</f>
        <v>9200459</v>
      </c>
      <c r="F2807" s="3" t="s">
        <v>8972</v>
      </c>
      <c r="G2807" s="5">
        <v>2651078081</v>
      </c>
      <c r="H2807" s="4" t="s">
        <v>8973</v>
      </c>
      <c r="I2807" s="4" t="s">
        <v>8828</v>
      </c>
      <c r="J2807" s="4" t="s">
        <v>8974</v>
      </c>
      <c r="K2807" s="4" t="s">
        <v>8975</v>
      </c>
      <c r="L2807" s="5">
        <v>45500</v>
      </c>
    </row>
    <row r="2808" spans="1:12" x14ac:dyDescent="0.25">
      <c r="A2808" s="3" t="s">
        <v>8648</v>
      </c>
      <c r="B2808" s="4" t="s">
        <v>8825</v>
      </c>
      <c r="C2808" s="4" t="s">
        <v>14</v>
      </c>
      <c r="D2808" s="4" t="s">
        <v>15</v>
      </c>
      <c r="E2808" s="5" t="str">
        <f>"9200546"</f>
        <v>9200546</v>
      </c>
      <c r="F2808" s="3" t="s">
        <v>8976</v>
      </c>
      <c r="G2808" s="5">
        <v>2651048008</v>
      </c>
      <c r="H2808" s="4" t="s">
        <v>8977</v>
      </c>
      <c r="I2808" s="4" t="s">
        <v>8828</v>
      </c>
      <c r="J2808" s="4" t="s">
        <v>8978</v>
      </c>
      <c r="K2808" s="4" t="s">
        <v>8979</v>
      </c>
      <c r="L2808" s="5">
        <v>45221</v>
      </c>
    </row>
    <row r="2809" spans="1:12" x14ac:dyDescent="0.25">
      <c r="A2809" s="3" t="s">
        <v>8648</v>
      </c>
      <c r="B2809" s="4" t="s">
        <v>8825</v>
      </c>
      <c r="C2809" s="4" t="s">
        <v>14</v>
      </c>
      <c r="D2809" s="4" t="s">
        <v>15</v>
      </c>
      <c r="E2809" s="5" t="str">
        <f>"9200152"</f>
        <v>9200152</v>
      </c>
      <c r="F2809" s="3" t="s">
        <v>8980</v>
      </c>
      <c r="G2809" s="5">
        <v>2651091245</v>
      </c>
      <c r="H2809" s="4" t="s">
        <v>8981</v>
      </c>
      <c r="I2809" s="4" t="s">
        <v>8828</v>
      </c>
      <c r="J2809" s="4"/>
      <c r="K2809" s="4" t="s">
        <v>8982</v>
      </c>
      <c r="L2809" s="5">
        <v>45500</v>
      </c>
    </row>
    <row r="2810" spans="1:12" x14ac:dyDescent="0.25">
      <c r="A2810" s="3" t="s">
        <v>8648</v>
      </c>
      <c r="B2810" s="4" t="s">
        <v>8825</v>
      </c>
      <c r="C2810" s="4" t="s">
        <v>14</v>
      </c>
      <c r="D2810" s="4" t="s">
        <v>179</v>
      </c>
      <c r="E2810" s="5" t="str">
        <f>"9200386"</f>
        <v>9200386</v>
      </c>
      <c r="F2810" s="3" t="s">
        <v>8983</v>
      </c>
      <c r="G2810" s="5">
        <v>2657022252</v>
      </c>
      <c r="H2810" s="4" t="s">
        <v>8984</v>
      </c>
      <c r="I2810" s="4" t="s">
        <v>8985</v>
      </c>
      <c r="J2810" s="4" t="s">
        <v>8986</v>
      </c>
      <c r="K2810" s="4" t="s">
        <v>8987</v>
      </c>
      <c r="L2810" s="5">
        <v>44002</v>
      </c>
    </row>
    <row r="2811" spans="1:12" x14ac:dyDescent="0.25">
      <c r="A2811" s="3" t="s">
        <v>8648</v>
      </c>
      <c r="B2811" s="4" t="s">
        <v>8825</v>
      </c>
      <c r="C2811" s="4" t="s">
        <v>14</v>
      </c>
      <c r="D2811" s="4" t="s">
        <v>15</v>
      </c>
      <c r="E2811" s="5" t="str">
        <f>"9200295"</f>
        <v>9200295</v>
      </c>
      <c r="F2811" s="3" t="s">
        <v>8988</v>
      </c>
      <c r="G2811" s="5">
        <v>2655022312</v>
      </c>
      <c r="H2811" s="4" t="s">
        <v>8989</v>
      </c>
      <c r="I2811" s="4" t="s">
        <v>8839</v>
      </c>
      <c r="J2811" s="4" t="s">
        <v>8990</v>
      </c>
      <c r="K2811" s="4" t="s">
        <v>8991</v>
      </c>
      <c r="L2811" s="5">
        <v>44100</v>
      </c>
    </row>
    <row r="2812" spans="1:12" x14ac:dyDescent="0.25">
      <c r="A2812" s="3" t="s">
        <v>8648</v>
      </c>
      <c r="B2812" s="4" t="s">
        <v>8825</v>
      </c>
      <c r="C2812" s="4" t="s">
        <v>14</v>
      </c>
      <c r="D2812" s="4" t="s">
        <v>15</v>
      </c>
      <c r="E2812" s="5" t="str">
        <f>"9200135"</f>
        <v>9200135</v>
      </c>
      <c r="F2812" s="3" t="s">
        <v>8992</v>
      </c>
      <c r="G2812" s="5">
        <v>2651055060</v>
      </c>
      <c r="H2812" s="4" t="s">
        <v>8993</v>
      </c>
      <c r="I2812" s="4" t="s">
        <v>8828</v>
      </c>
      <c r="J2812" s="4" t="s">
        <v>8994</v>
      </c>
      <c r="K2812" s="4" t="s">
        <v>8994</v>
      </c>
      <c r="L2812" s="5">
        <v>45500</v>
      </c>
    </row>
    <row r="2813" spans="1:12" x14ac:dyDescent="0.25">
      <c r="A2813" s="3" t="s">
        <v>8648</v>
      </c>
      <c r="B2813" s="4" t="s">
        <v>8825</v>
      </c>
      <c r="C2813" s="4" t="s">
        <v>14</v>
      </c>
      <c r="D2813" s="4" t="s">
        <v>15</v>
      </c>
      <c r="E2813" s="5" t="str">
        <f>"9200215"</f>
        <v>9200215</v>
      </c>
      <c r="F2813" s="3" t="s">
        <v>8995</v>
      </c>
      <c r="G2813" s="5">
        <v>2651061038</v>
      </c>
      <c r="H2813" s="4" t="s">
        <v>8996</v>
      </c>
      <c r="I2813" s="4" t="s">
        <v>8877</v>
      </c>
      <c r="J2813" s="4" t="s">
        <v>8997</v>
      </c>
      <c r="K2813" s="4" t="s">
        <v>8997</v>
      </c>
      <c r="L2813" s="5">
        <v>45500</v>
      </c>
    </row>
    <row r="2814" spans="1:12" x14ac:dyDescent="0.25">
      <c r="A2814" s="3" t="s">
        <v>8648</v>
      </c>
      <c r="B2814" s="4" t="s">
        <v>8825</v>
      </c>
      <c r="C2814" s="4" t="s">
        <v>14</v>
      </c>
      <c r="D2814" s="4" t="s">
        <v>15</v>
      </c>
      <c r="E2814" s="5" t="str">
        <f>"9200112"</f>
        <v>9200112</v>
      </c>
      <c r="F2814" s="3" t="s">
        <v>8998</v>
      </c>
      <c r="G2814" s="5">
        <v>2651048321</v>
      </c>
      <c r="H2814" s="4" t="s">
        <v>8999</v>
      </c>
      <c r="I2814" s="4" t="s">
        <v>8828</v>
      </c>
      <c r="J2814" s="4" t="s">
        <v>9000</v>
      </c>
      <c r="K2814" s="4" t="s">
        <v>9001</v>
      </c>
      <c r="L2814" s="5">
        <v>45221</v>
      </c>
    </row>
    <row r="2815" spans="1:12" x14ac:dyDescent="0.25">
      <c r="A2815" s="3" t="s">
        <v>8648</v>
      </c>
      <c r="B2815" s="4" t="s">
        <v>8825</v>
      </c>
      <c r="C2815" s="4" t="s">
        <v>14</v>
      </c>
      <c r="D2815" s="4" t="s">
        <v>15</v>
      </c>
      <c r="E2815" s="5" t="str">
        <f>"9200081"</f>
        <v>9200081</v>
      </c>
      <c r="F2815" s="3" t="s">
        <v>9002</v>
      </c>
      <c r="G2815" s="5">
        <v>2656041339</v>
      </c>
      <c r="H2815" s="4" t="s">
        <v>9003</v>
      </c>
      <c r="I2815" s="4" t="s">
        <v>9004</v>
      </c>
      <c r="J2815" s="4" t="s">
        <v>9005</v>
      </c>
      <c r="K2815" s="4" t="s">
        <v>9005</v>
      </c>
      <c r="L2815" s="5">
        <v>44200</v>
      </c>
    </row>
    <row r="2816" spans="1:12" x14ac:dyDescent="0.25">
      <c r="A2816" s="3" t="s">
        <v>8648</v>
      </c>
      <c r="B2816" s="4" t="s">
        <v>8825</v>
      </c>
      <c r="C2816" s="4" t="s">
        <v>14</v>
      </c>
      <c r="D2816" s="4" t="s">
        <v>15</v>
      </c>
      <c r="E2816" s="5" t="str">
        <f>"9200003"</f>
        <v>9200003</v>
      </c>
      <c r="F2816" s="3" t="s">
        <v>9006</v>
      </c>
      <c r="G2816" s="5">
        <v>2651022032</v>
      </c>
      <c r="H2816" s="4" t="s">
        <v>9007</v>
      </c>
      <c r="I2816" s="4" t="s">
        <v>8828</v>
      </c>
      <c r="J2816" s="4" t="s">
        <v>8847</v>
      </c>
      <c r="K2816" s="4" t="s">
        <v>9008</v>
      </c>
      <c r="L2816" s="5">
        <v>45221</v>
      </c>
    </row>
    <row r="2817" spans="1:12" ht="30" x14ac:dyDescent="0.25">
      <c r="A2817" s="3" t="s">
        <v>8648</v>
      </c>
      <c r="B2817" s="4" t="s">
        <v>8825</v>
      </c>
      <c r="C2817" s="4" t="s">
        <v>14</v>
      </c>
      <c r="D2817" s="4" t="s">
        <v>960</v>
      </c>
      <c r="E2817" s="5" t="str">
        <f>"9200005"</f>
        <v>9200005</v>
      </c>
      <c r="F2817" s="3" t="s">
        <v>9009</v>
      </c>
      <c r="G2817" s="5">
        <v>2651022203</v>
      </c>
      <c r="H2817" s="4" t="s">
        <v>9010</v>
      </c>
      <c r="I2817" s="4" t="s">
        <v>8828</v>
      </c>
      <c r="J2817" s="4" t="s">
        <v>9011</v>
      </c>
      <c r="K2817" s="4" t="s">
        <v>9012</v>
      </c>
      <c r="L2817" s="5">
        <v>45221</v>
      </c>
    </row>
    <row r="2818" spans="1:12" x14ac:dyDescent="0.25">
      <c r="A2818" s="3" t="s">
        <v>8648</v>
      </c>
      <c r="B2818" s="4" t="s">
        <v>8825</v>
      </c>
      <c r="C2818" s="4" t="s">
        <v>14</v>
      </c>
      <c r="D2818" s="4" t="s">
        <v>15</v>
      </c>
      <c r="E2818" s="5" t="str">
        <f>"9200551"</f>
        <v>9200551</v>
      </c>
      <c r="F2818" s="3" t="s">
        <v>9013</v>
      </c>
      <c r="G2818" s="5">
        <v>2651048466</v>
      </c>
      <c r="H2818" s="4" t="s">
        <v>9014</v>
      </c>
      <c r="I2818" s="4" t="s">
        <v>8828</v>
      </c>
      <c r="J2818" s="4" t="s">
        <v>9015</v>
      </c>
      <c r="K2818" s="4" t="s">
        <v>9016</v>
      </c>
      <c r="L2818" s="5">
        <v>45222</v>
      </c>
    </row>
    <row r="2819" spans="1:12" x14ac:dyDescent="0.25">
      <c r="A2819" s="3" t="s">
        <v>8648</v>
      </c>
      <c r="B2819" s="4" t="s">
        <v>8825</v>
      </c>
      <c r="C2819" s="4" t="s">
        <v>25</v>
      </c>
      <c r="D2819" s="4" t="s">
        <v>26</v>
      </c>
      <c r="E2819" s="5" t="str">
        <f>"9200426"</f>
        <v>9200426</v>
      </c>
      <c r="F2819" s="3" t="s">
        <v>9017</v>
      </c>
      <c r="G2819" s="5">
        <v>2651047902</v>
      </c>
      <c r="H2819" s="4" t="s">
        <v>9018</v>
      </c>
      <c r="I2819" s="4" t="s">
        <v>8828</v>
      </c>
      <c r="J2819" s="4" t="s">
        <v>8829</v>
      </c>
      <c r="K2819" s="4" t="s">
        <v>9019</v>
      </c>
      <c r="L2819" s="5">
        <v>45221</v>
      </c>
    </row>
    <row r="2820" spans="1:12" x14ac:dyDescent="0.25">
      <c r="A2820" s="3" t="s">
        <v>8648</v>
      </c>
      <c r="B2820" s="4" t="s">
        <v>8825</v>
      </c>
      <c r="C2820" s="4" t="s">
        <v>14</v>
      </c>
      <c r="D2820" s="4" t="s">
        <v>15</v>
      </c>
      <c r="E2820" s="5" t="str">
        <f>"9200439"</f>
        <v>9200439</v>
      </c>
      <c r="F2820" s="3" t="s">
        <v>9020</v>
      </c>
      <c r="G2820" s="5">
        <v>2651022919</v>
      </c>
      <c r="H2820" s="4" t="s">
        <v>9021</v>
      </c>
      <c r="I2820" s="4" t="s">
        <v>8828</v>
      </c>
      <c r="J2820" s="4" t="s">
        <v>8847</v>
      </c>
      <c r="K2820" s="4" t="s">
        <v>9022</v>
      </c>
      <c r="L2820" s="5">
        <v>45500</v>
      </c>
    </row>
    <row r="2821" spans="1:12" x14ac:dyDescent="0.25">
      <c r="A2821" s="3" t="s">
        <v>8648</v>
      </c>
      <c r="B2821" s="4" t="s">
        <v>8825</v>
      </c>
      <c r="C2821" s="4" t="s">
        <v>25</v>
      </c>
      <c r="D2821" s="4" t="s">
        <v>26</v>
      </c>
      <c r="E2821" s="5" t="str">
        <f>"9200086"</f>
        <v>9200086</v>
      </c>
      <c r="F2821" s="3" t="s">
        <v>9023</v>
      </c>
      <c r="G2821" s="5">
        <v>2656042774</v>
      </c>
      <c r="H2821" s="4" t="s">
        <v>9024</v>
      </c>
      <c r="I2821" s="4" t="s">
        <v>9004</v>
      </c>
      <c r="J2821" s="4" t="s">
        <v>9004</v>
      </c>
      <c r="K2821" s="4" t="s">
        <v>9025</v>
      </c>
      <c r="L2821" s="5">
        <v>44200</v>
      </c>
    </row>
    <row r="2822" spans="1:12" x14ac:dyDescent="0.25">
      <c r="A2822" s="3" t="s">
        <v>8648</v>
      </c>
      <c r="B2822" s="4" t="s">
        <v>8825</v>
      </c>
      <c r="C2822" s="4" t="s">
        <v>14</v>
      </c>
      <c r="D2822" s="4" t="s">
        <v>179</v>
      </c>
      <c r="E2822" s="5" t="str">
        <f>"9200378"</f>
        <v>9200378</v>
      </c>
      <c r="F2822" s="3" t="s">
        <v>9026</v>
      </c>
      <c r="G2822" s="5">
        <v>2653031244</v>
      </c>
      <c r="H2822" s="4" t="s">
        <v>9027</v>
      </c>
      <c r="I2822" s="4" t="s">
        <v>8985</v>
      </c>
      <c r="J2822" s="4" t="s">
        <v>9028</v>
      </c>
      <c r="K2822" s="4" t="s">
        <v>9028</v>
      </c>
      <c r="L2822" s="5">
        <v>44004</v>
      </c>
    </row>
    <row r="2823" spans="1:12" x14ac:dyDescent="0.25">
      <c r="A2823" s="3" t="s">
        <v>8648</v>
      </c>
      <c r="B2823" s="4" t="s">
        <v>8825</v>
      </c>
      <c r="C2823" s="4" t="s">
        <v>14</v>
      </c>
      <c r="D2823" s="4" t="s">
        <v>15</v>
      </c>
      <c r="E2823" s="5" t="str">
        <f>"9200430"</f>
        <v>9200430</v>
      </c>
      <c r="F2823" s="3" t="s">
        <v>9029</v>
      </c>
      <c r="G2823" s="5">
        <v>2651040257</v>
      </c>
      <c r="H2823" s="4" t="s">
        <v>9030</v>
      </c>
      <c r="I2823" s="4" t="s">
        <v>8828</v>
      </c>
      <c r="J2823" s="4" t="s">
        <v>8847</v>
      </c>
      <c r="K2823" s="4" t="s">
        <v>9031</v>
      </c>
      <c r="L2823" s="5">
        <v>45332</v>
      </c>
    </row>
    <row r="2824" spans="1:12" x14ac:dyDescent="0.25">
      <c r="A2824" s="3" t="s">
        <v>8648</v>
      </c>
      <c r="B2824" s="4" t="s">
        <v>8825</v>
      </c>
      <c r="C2824" s="4" t="s">
        <v>14</v>
      </c>
      <c r="D2824" s="4" t="s">
        <v>15</v>
      </c>
      <c r="E2824" s="5" t="str">
        <f>"9200574"</f>
        <v>9200574</v>
      </c>
      <c r="F2824" s="3" t="s">
        <v>9032</v>
      </c>
      <c r="G2824" s="5">
        <v>2651040819</v>
      </c>
      <c r="H2824" s="4" t="s">
        <v>9033</v>
      </c>
      <c r="I2824" s="4" t="s">
        <v>8828</v>
      </c>
      <c r="J2824" s="4" t="s">
        <v>8847</v>
      </c>
      <c r="K2824" s="4" t="s">
        <v>9034</v>
      </c>
      <c r="L2824" s="5">
        <v>45500</v>
      </c>
    </row>
    <row r="2825" spans="1:12" x14ac:dyDescent="0.25">
      <c r="A2825" s="3" t="s">
        <v>8648</v>
      </c>
      <c r="B2825" s="4" t="s">
        <v>8825</v>
      </c>
      <c r="C2825" s="4" t="s">
        <v>14</v>
      </c>
      <c r="D2825" s="4" t="s">
        <v>15</v>
      </c>
      <c r="E2825" s="5" t="str">
        <f>"9200298"</f>
        <v>9200298</v>
      </c>
      <c r="F2825" s="3" t="s">
        <v>9035</v>
      </c>
      <c r="G2825" s="5">
        <v>2655022459</v>
      </c>
      <c r="H2825" s="4" t="s">
        <v>9036</v>
      </c>
      <c r="I2825" s="4" t="s">
        <v>8839</v>
      </c>
      <c r="J2825" s="4" t="s">
        <v>8840</v>
      </c>
      <c r="K2825" s="4" t="s">
        <v>8840</v>
      </c>
      <c r="L2825" s="5">
        <v>44100</v>
      </c>
    </row>
    <row r="2826" spans="1:12" x14ac:dyDescent="0.25">
      <c r="A2826" s="3" t="s">
        <v>8648</v>
      </c>
      <c r="B2826" s="4" t="s">
        <v>8825</v>
      </c>
      <c r="C2826" s="4" t="s">
        <v>14</v>
      </c>
      <c r="D2826" s="4" t="s">
        <v>15</v>
      </c>
      <c r="E2826" s="5" t="str">
        <f>"9200530"</f>
        <v>9200530</v>
      </c>
      <c r="F2826" s="3" t="s">
        <v>9037</v>
      </c>
      <c r="G2826" s="5">
        <v>2651041085</v>
      </c>
      <c r="H2826" s="4" t="s">
        <v>9038</v>
      </c>
      <c r="I2826" s="4" t="s">
        <v>8828</v>
      </c>
      <c r="J2826" s="4" t="s">
        <v>8847</v>
      </c>
      <c r="K2826" s="4" t="s">
        <v>9039</v>
      </c>
      <c r="L2826" s="5">
        <v>45332</v>
      </c>
    </row>
    <row r="2827" spans="1:12" x14ac:dyDescent="0.25">
      <c r="A2827" s="3" t="s">
        <v>8648</v>
      </c>
      <c r="B2827" s="4" t="s">
        <v>8825</v>
      </c>
      <c r="C2827" s="4" t="s">
        <v>14</v>
      </c>
      <c r="D2827" s="4" t="s">
        <v>15</v>
      </c>
      <c r="E2827" s="5" t="str">
        <f>"9200194"</f>
        <v>9200194</v>
      </c>
      <c r="F2827" s="3" t="s">
        <v>9040</v>
      </c>
      <c r="G2827" s="5">
        <v>2651046385</v>
      </c>
      <c r="H2827" s="4" t="s">
        <v>9041</v>
      </c>
      <c r="I2827" s="4" t="s">
        <v>8828</v>
      </c>
      <c r="J2827" s="4" t="s">
        <v>8847</v>
      </c>
      <c r="K2827" s="4" t="s">
        <v>9042</v>
      </c>
      <c r="L2827" s="5">
        <v>45332</v>
      </c>
    </row>
    <row r="2828" spans="1:12" x14ac:dyDescent="0.25">
      <c r="A2828" s="3" t="s">
        <v>8648</v>
      </c>
      <c r="B2828" s="4" t="s">
        <v>8825</v>
      </c>
      <c r="C2828" s="4" t="s">
        <v>14</v>
      </c>
      <c r="D2828" s="4" t="s">
        <v>15</v>
      </c>
      <c r="E2828" s="5" t="str">
        <f>"9200465"</f>
        <v>9200465</v>
      </c>
      <c r="F2828" s="3" t="s">
        <v>9043</v>
      </c>
      <c r="G2828" s="5">
        <v>2651067423</v>
      </c>
      <c r="H2828" s="4" t="s">
        <v>9044</v>
      </c>
      <c r="I2828" s="4" t="s">
        <v>8828</v>
      </c>
      <c r="J2828" s="4" t="s">
        <v>8847</v>
      </c>
      <c r="K2828" s="4" t="s">
        <v>9045</v>
      </c>
      <c r="L2828" s="5">
        <v>45221</v>
      </c>
    </row>
    <row r="2829" spans="1:12" x14ac:dyDescent="0.25">
      <c r="A2829" s="3" t="s">
        <v>8648</v>
      </c>
      <c r="B2829" s="4" t="s">
        <v>8825</v>
      </c>
      <c r="C2829" s="4" t="s">
        <v>14</v>
      </c>
      <c r="D2829" s="4" t="s">
        <v>179</v>
      </c>
      <c r="E2829" s="5" t="str">
        <f>"9200167"</f>
        <v>9200167</v>
      </c>
      <c r="F2829" s="3" t="s">
        <v>9046</v>
      </c>
      <c r="G2829" s="5">
        <v>2659061239</v>
      </c>
      <c r="H2829" s="4" t="s">
        <v>9047</v>
      </c>
      <c r="I2829" s="4" t="s">
        <v>9048</v>
      </c>
      <c r="J2829" s="4" t="s">
        <v>9049</v>
      </c>
      <c r="K2829" s="4" t="s">
        <v>9050</v>
      </c>
      <c r="L2829" s="5">
        <v>44001</v>
      </c>
    </row>
    <row r="2830" spans="1:12" x14ac:dyDescent="0.25">
      <c r="A2830" s="3" t="s">
        <v>8648</v>
      </c>
      <c r="B2830" s="4" t="s">
        <v>8825</v>
      </c>
      <c r="C2830" s="4" t="s">
        <v>14</v>
      </c>
      <c r="D2830" s="4" t="s">
        <v>15</v>
      </c>
      <c r="E2830" s="5" t="str">
        <f>"9200047"</f>
        <v>9200047</v>
      </c>
      <c r="F2830" s="3" t="s">
        <v>9051</v>
      </c>
      <c r="G2830" s="5">
        <v>2651052159</v>
      </c>
      <c r="H2830" s="4" t="s">
        <v>9052</v>
      </c>
      <c r="I2830" s="4" t="s">
        <v>8828</v>
      </c>
      <c r="J2830" s="4" t="s">
        <v>9053</v>
      </c>
      <c r="K2830" s="4" t="s">
        <v>9053</v>
      </c>
      <c r="L2830" s="5">
        <v>45500</v>
      </c>
    </row>
    <row r="2831" spans="1:12" x14ac:dyDescent="0.25">
      <c r="A2831" s="3" t="s">
        <v>8648</v>
      </c>
      <c r="B2831" s="4" t="s">
        <v>8825</v>
      </c>
      <c r="C2831" s="4" t="s">
        <v>14</v>
      </c>
      <c r="D2831" s="4" t="s">
        <v>15</v>
      </c>
      <c r="E2831" s="5" t="str">
        <f>"9200128"</f>
        <v>9200128</v>
      </c>
      <c r="F2831" s="3" t="s">
        <v>9054</v>
      </c>
      <c r="G2831" s="5">
        <v>2651091303</v>
      </c>
      <c r="H2831" s="4" t="s">
        <v>9055</v>
      </c>
      <c r="I2831" s="4" t="s">
        <v>8828</v>
      </c>
      <c r="J2831" s="4" t="s">
        <v>9056</v>
      </c>
      <c r="K2831" s="4" t="s">
        <v>9057</v>
      </c>
      <c r="L2831" s="5">
        <v>45500</v>
      </c>
    </row>
    <row r="2832" spans="1:12" x14ac:dyDescent="0.25">
      <c r="A2832" s="3" t="s">
        <v>8648</v>
      </c>
      <c r="B2832" s="4" t="s">
        <v>8825</v>
      </c>
      <c r="C2832" s="4" t="s">
        <v>14</v>
      </c>
      <c r="D2832" s="4" t="s">
        <v>15</v>
      </c>
      <c r="E2832" s="5" t="str">
        <f>"9200464"</f>
        <v>9200464</v>
      </c>
      <c r="F2832" s="3" t="s">
        <v>9058</v>
      </c>
      <c r="G2832" s="5">
        <v>2651067736</v>
      </c>
      <c r="H2832" s="4" t="s">
        <v>9059</v>
      </c>
      <c r="I2832" s="4" t="s">
        <v>8828</v>
      </c>
      <c r="J2832" s="4" t="s">
        <v>8847</v>
      </c>
      <c r="K2832" s="4" t="s">
        <v>9045</v>
      </c>
      <c r="L2832" s="5">
        <v>45221</v>
      </c>
    </row>
    <row r="2833" spans="1:12" ht="30" x14ac:dyDescent="0.25">
      <c r="A2833" s="3" t="s">
        <v>8648</v>
      </c>
      <c r="B2833" s="4" t="s">
        <v>8825</v>
      </c>
      <c r="C2833" s="4" t="s">
        <v>14</v>
      </c>
      <c r="D2833" s="4" t="s">
        <v>452</v>
      </c>
      <c r="E2833" s="5" t="str">
        <f>"9200406"</f>
        <v>9200406</v>
      </c>
      <c r="F2833" s="3" t="s">
        <v>9060</v>
      </c>
      <c r="G2833" s="5">
        <v>2651066326</v>
      </c>
      <c r="H2833" s="4" t="s">
        <v>9061</v>
      </c>
      <c r="I2833" s="4" t="s">
        <v>8828</v>
      </c>
      <c r="J2833" s="4" t="s">
        <v>8847</v>
      </c>
      <c r="K2833" s="4" t="s">
        <v>9045</v>
      </c>
      <c r="L2833" s="5">
        <v>45221</v>
      </c>
    </row>
    <row r="2834" spans="1:12" ht="30" x14ac:dyDescent="0.25">
      <c r="A2834" s="3" t="s">
        <v>8648</v>
      </c>
      <c r="B2834" s="4" t="s">
        <v>8825</v>
      </c>
      <c r="C2834" s="4" t="s">
        <v>14</v>
      </c>
      <c r="D2834" s="4" t="s">
        <v>452</v>
      </c>
      <c r="E2834" s="5" t="str">
        <f>"9200405"</f>
        <v>9200405</v>
      </c>
      <c r="F2834" s="3" t="s">
        <v>9062</v>
      </c>
      <c r="G2834" s="5">
        <v>2651045553</v>
      </c>
      <c r="H2834" s="4" t="s">
        <v>9063</v>
      </c>
      <c r="I2834" s="4" t="s">
        <v>8828</v>
      </c>
      <c r="J2834" s="4" t="s">
        <v>8847</v>
      </c>
      <c r="K2834" s="4" t="s">
        <v>9045</v>
      </c>
      <c r="L2834" s="5">
        <v>45221</v>
      </c>
    </row>
    <row r="2835" spans="1:12" x14ac:dyDescent="0.25">
      <c r="A2835" s="3" t="s">
        <v>8648</v>
      </c>
      <c r="B2835" s="4" t="s">
        <v>8825</v>
      </c>
      <c r="C2835" s="4" t="s">
        <v>14</v>
      </c>
      <c r="D2835" s="4" t="s">
        <v>15</v>
      </c>
      <c r="E2835" s="5" t="str">
        <f>"9521115"</f>
        <v>9521115</v>
      </c>
      <c r="F2835" s="3" t="s">
        <v>9064</v>
      </c>
      <c r="G2835" s="5">
        <v>2651068679</v>
      </c>
      <c r="H2835" s="4" t="s">
        <v>9065</v>
      </c>
      <c r="I2835" s="4" t="s">
        <v>8828</v>
      </c>
      <c r="J2835" s="4" t="s">
        <v>8847</v>
      </c>
      <c r="K2835" s="4" t="s">
        <v>9066</v>
      </c>
      <c r="L2835" s="5">
        <v>45221</v>
      </c>
    </row>
    <row r="2836" spans="1:12" x14ac:dyDescent="0.25">
      <c r="A2836" s="3" t="s">
        <v>8648</v>
      </c>
      <c r="B2836" s="4" t="s">
        <v>8825</v>
      </c>
      <c r="C2836" s="4" t="s">
        <v>25</v>
      </c>
      <c r="D2836" s="4" t="s">
        <v>26</v>
      </c>
      <c r="E2836" s="5" t="str">
        <f>"9521220"</f>
        <v>9521220</v>
      </c>
      <c r="F2836" s="3" t="s">
        <v>9067</v>
      </c>
      <c r="G2836" s="5">
        <v>2651034616</v>
      </c>
      <c r="H2836" s="4" t="s">
        <v>9068</v>
      </c>
      <c r="I2836" s="4" t="s">
        <v>8828</v>
      </c>
      <c r="J2836" s="4" t="s">
        <v>8829</v>
      </c>
      <c r="K2836" s="4" t="s">
        <v>9069</v>
      </c>
      <c r="L2836" s="5">
        <v>45500</v>
      </c>
    </row>
    <row r="2837" spans="1:12" x14ac:dyDescent="0.25">
      <c r="A2837" s="3" t="s">
        <v>8648</v>
      </c>
      <c r="B2837" s="4" t="s">
        <v>8825</v>
      </c>
      <c r="C2837" s="4" t="s">
        <v>25</v>
      </c>
      <c r="D2837" s="4" t="s">
        <v>26</v>
      </c>
      <c r="E2837" s="5" t="str">
        <f>"9521533"</f>
        <v>9521533</v>
      </c>
      <c r="F2837" s="3" t="s">
        <v>9070</v>
      </c>
      <c r="G2837" s="5">
        <v>2651003430</v>
      </c>
      <c r="H2837" s="4" t="s">
        <v>9071</v>
      </c>
      <c r="I2837" s="4" t="s">
        <v>8828</v>
      </c>
      <c r="J2837" s="4" t="s">
        <v>8843</v>
      </c>
      <c r="K2837" s="4" t="s">
        <v>9072</v>
      </c>
      <c r="L2837" s="5">
        <v>45221</v>
      </c>
    </row>
    <row r="2838" spans="1:12" x14ac:dyDescent="0.25">
      <c r="A2838" s="3" t="s">
        <v>8648</v>
      </c>
      <c r="B2838" s="4" t="s">
        <v>8825</v>
      </c>
      <c r="C2838" s="4" t="s">
        <v>25</v>
      </c>
      <c r="D2838" s="4" t="s">
        <v>26</v>
      </c>
      <c r="E2838" s="5" t="str">
        <f>"9200066"</f>
        <v>9200066</v>
      </c>
      <c r="F2838" s="3" t="s">
        <v>9073</v>
      </c>
      <c r="G2838" s="5">
        <v>2651081771</v>
      </c>
      <c r="H2838" s="4" t="s">
        <v>9074</v>
      </c>
      <c r="I2838" s="4" t="s">
        <v>8828</v>
      </c>
      <c r="J2838" s="4" t="s">
        <v>5689</v>
      </c>
      <c r="K2838" s="4" t="s">
        <v>9075</v>
      </c>
      <c r="L2838" s="5">
        <v>45500</v>
      </c>
    </row>
    <row r="2839" spans="1:12" ht="30" x14ac:dyDescent="0.25">
      <c r="A2839" s="3" t="s">
        <v>8648</v>
      </c>
      <c r="B2839" s="4" t="s">
        <v>8825</v>
      </c>
      <c r="C2839" s="4" t="s">
        <v>14</v>
      </c>
      <c r="D2839" s="4" t="s">
        <v>15</v>
      </c>
      <c r="E2839" s="5" t="str">
        <f>"9521632"</f>
        <v>9521632</v>
      </c>
      <c r="F2839" s="3" t="s">
        <v>9076</v>
      </c>
      <c r="G2839" s="5">
        <v>2651061237</v>
      </c>
      <c r="H2839" s="4" t="s">
        <v>9077</v>
      </c>
      <c r="I2839" s="4" t="s">
        <v>8877</v>
      </c>
      <c r="J2839" s="4" t="s">
        <v>9078</v>
      </c>
      <c r="K2839" s="4" t="s">
        <v>9079</v>
      </c>
      <c r="L2839" s="5">
        <v>45445</v>
      </c>
    </row>
    <row r="2840" spans="1:12" x14ac:dyDescent="0.25">
      <c r="A2840" s="3" t="s">
        <v>8648</v>
      </c>
      <c r="B2840" s="4" t="s">
        <v>8825</v>
      </c>
      <c r="C2840" s="4" t="s">
        <v>14</v>
      </c>
      <c r="D2840" s="4" t="s">
        <v>15</v>
      </c>
      <c r="E2840" s="5" t="str">
        <f>"9521730"</f>
        <v>9521730</v>
      </c>
      <c r="F2840" s="3" t="s">
        <v>9080</v>
      </c>
      <c r="G2840" s="5">
        <v>2651003426</v>
      </c>
      <c r="H2840" s="4" t="s">
        <v>9081</v>
      </c>
      <c r="I2840" s="4" t="s">
        <v>8828</v>
      </c>
      <c r="J2840" s="4" t="s">
        <v>9082</v>
      </c>
      <c r="K2840" s="4" t="s">
        <v>9083</v>
      </c>
      <c r="L2840" s="5">
        <v>45222</v>
      </c>
    </row>
    <row r="2841" spans="1:12" x14ac:dyDescent="0.25">
      <c r="A2841" s="3" t="s">
        <v>8648</v>
      </c>
      <c r="B2841" s="4" t="s">
        <v>8825</v>
      </c>
      <c r="C2841" s="4" t="s">
        <v>25</v>
      </c>
      <c r="D2841" s="4" t="s">
        <v>7493</v>
      </c>
      <c r="E2841" s="5" t="str">
        <f>"9201001"</f>
        <v>9201001</v>
      </c>
      <c r="F2841" s="3" t="s">
        <v>9084</v>
      </c>
      <c r="G2841" s="5">
        <v>2651003735</v>
      </c>
      <c r="H2841" s="4" t="s">
        <v>9085</v>
      </c>
      <c r="I2841" s="4" t="s">
        <v>8828</v>
      </c>
      <c r="J2841" s="4" t="s">
        <v>8829</v>
      </c>
      <c r="K2841" s="4" t="s">
        <v>9086</v>
      </c>
      <c r="L2841" s="5">
        <v>45332</v>
      </c>
    </row>
    <row r="2842" spans="1:12" x14ac:dyDescent="0.25">
      <c r="A2842" s="3" t="s">
        <v>8648</v>
      </c>
      <c r="B2842" s="4" t="s">
        <v>9087</v>
      </c>
      <c r="C2842" s="4" t="s">
        <v>25</v>
      </c>
      <c r="D2842" s="4" t="s">
        <v>26</v>
      </c>
      <c r="E2842" s="5" t="str">
        <f>"9400233"</f>
        <v>9400233</v>
      </c>
      <c r="F2842" s="3" t="s">
        <v>9088</v>
      </c>
      <c r="G2842" s="5">
        <v>2682023394</v>
      </c>
      <c r="H2842" s="4" t="s">
        <v>9089</v>
      </c>
      <c r="I2842" s="4" t="s">
        <v>9090</v>
      </c>
      <c r="J2842" s="4" t="s">
        <v>9091</v>
      </c>
      <c r="K2842" s="4" t="s">
        <v>9092</v>
      </c>
      <c r="L2842" s="5">
        <v>48100</v>
      </c>
    </row>
    <row r="2843" spans="1:12" x14ac:dyDescent="0.25">
      <c r="A2843" s="3" t="s">
        <v>8648</v>
      </c>
      <c r="B2843" s="4" t="s">
        <v>9087</v>
      </c>
      <c r="C2843" s="4" t="s">
        <v>25</v>
      </c>
      <c r="D2843" s="4" t="s">
        <v>26</v>
      </c>
      <c r="E2843" s="5" t="str">
        <f>"9400011"</f>
        <v>9400011</v>
      </c>
      <c r="F2843" s="3" t="s">
        <v>9093</v>
      </c>
      <c r="G2843" s="5">
        <v>2683022236</v>
      </c>
      <c r="H2843" s="4" t="s">
        <v>9094</v>
      </c>
      <c r="I2843" s="4" t="s">
        <v>9095</v>
      </c>
      <c r="J2843" s="4" t="s">
        <v>9096</v>
      </c>
      <c r="K2843" s="4" t="s">
        <v>9097</v>
      </c>
      <c r="L2843" s="5">
        <v>48200</v>
      </c>
    </row>
    <row r="2844" spans="1:12" x14ac:dyDescent="0.25">
      <c r="A2844" s="3" t="s">
        <v>8648</v>
      </c>
      <c r="B2844" s="4" t="s">
        <v>9087</v>
      </c>
      <c r="C2844" s="4" t="s">
        <v>14</v>
      </c>
      <c r="D2844" s="4" t="s">
        <v>15</v>
      </c>
      <c r="E2844" s="5" t="str">
        <f>"9400009"</f>
        <v>9400009</v>
      </c>
      <c r="F2844" s="3" t="s">
        <v>9098</v>
      </c>
      <c r="G2844" s="5">
        <v>2682022455</v>
      </c>
      <c r="H2844" s="4" t="s">
        <v>9099</v>
      </c>
      <c r="I2844" s="4" t="s">
        <v>9090</v>
      </c>
      <c r="J2844" s="4" t="s">
        <v>9091</v>
      </c>
      <c r="K2844" s="4" t="s">
        <v>9100</v>
      </c>
      <c r="L2844" s="5">
        <v>48100</v>
      </c>
    </row>
    <row r="2845" spans="1:12" x14ac:dyDescent="0.25">
      <c r="A2845" s="3" t="s">
        <v>8648</v>
      </c>
      <c r="B2845" s="4" t="s">
        <v>9087</v>
      </c>
      <c r="C2845" s="4" t="s">
        <v>14</v>
      </c>
      <c r="D2845" s="4" t="s">
        <v>15</v>
      </c>
      <c r="E2845" s="5" t="str">
        <f>"9400002"</f>
        <v>9400002</v>
      </c>
      <c r="F2845" s="3" t="s">
        <v>9101</v>
      </c>
      <c r="G2845" s="5">
        <v>2683031202</v>
      </c>
      <c r="H2845" s="4" t="s">
        <v>9102</v>
      </c>
      <c r="I2845" s="4" t="s">
        <v>9095</v>
      </c>
      <c r="J2845" s="4" t="s">
        <v>9103</v>
      </c>
      <c r="K2845" s="4" t="s">
        <v>9103</v>
      </c>
      <c r="L2845" s="5">
        <v>48300</v>
      </c>
    </row>
    <row r="2846" spans="1:12" x14ac:dyDescent="0.25">
      <c r="A2846" s="3" t="s">
        <v>8648</v>
      </c>
      <c r="B2846" s="4" t="s">
        <v>9087</v>
      </c>
      <c r="C2846" s="4" t="s">
        <v>14</v>
      </c>
      <c r="D2846" s="4" t="s">
        <v>15</v>
      </c>
      <c r="E2846" s="5" t="str">
        <f>"9400007"</f>
        <v>9400007</v>
      </c>
      <c r="F2846" s="3" t="s">
        <v>9104</v>
      </c>
      <c r="G2846" s="5">
        <v>2682022705</v>
      </c>
      <c r="H2846" s="4" t="s">
        <v>9105</v>
      </c>
      <c r="I2846" s="4" t="s">
        <v>9090</v>
      </c>
      <c r="J2846" s="4" t="s">
        <v>9091</v>
      </c>
      <c r="K2846" s="4" t="s">
        <v>9106</v>
      </c>
      <c r="L2846" s="5">
        <v>48100</v>
      </c>
    </row>
    <row r="2847" spans="1:12" x14ac:dyDescent="0.25">
      <c r="A2847" s="3" t="s">
        <v>8648</v>
      </c>
      <c r="B2847" s="4" t="s">
        <v>9087</v>
      </c>
      <c r="C2847" s="4" t="s">
        <v>14</v>
      </c>
      <c r="D2847" s="4" t="s">
        <v>15</v>
      </c>
      <c r="E2847" s="5" t="str">
        <f>"9400139"</f>
        <v>9400139</v>
      </c>
      <c r="F2847" s="3" t="s">
        <v>9107</v>
      </c>
      <c r="G2847" s="5">
        <v>2682051256</v>
      </c>
      <c r="H2847" s="4" t="s">
        <v>9108</v>
      </c>
      <c r="I2847" s="4" t="s">
        <v>9090</v>
      </c>
      <c r="J2847" s="4" t="s">
        <v>9091</v>
      </c>
      <c r="K2847" s="4" t="s">
        <v>9109</v>
      </c>
      <c r="L2847" s="5">
        <v>48100</v>
      </c>
    </row>
    <row r="2848" spans="1:12" x14ac:dyDescent="0.25">
      <c r="A2848" s="3" t="s">
        <v>8648</v>
      </c>
      <c r="B2848" s="4" t="s">
        <v>9087</v>
      </c>
      <c r="C2848" s="4" t="s">
        <v>14</v>
      </c>
      <c r="D2848" s="4" t="s">
        <v>15</v>
      </c>
      <c r="E2848" s="5" t="str">
        <f>"9400015"</f>
        <v>9400015</v>
      </c>
      <c r="F2848" s="3" t="s">
        <v>9110</v>
      </c>
      <c r="G2848" s="5">
        <v>2683022764</v>
      </c>
      <c r="H2848" s="4" t="s">
        <v>9111</v>
      </c>
      <c r="I2848" s="4" t="s">
        <v>9095</v>
      </c>
      <c r="J2848" s="4" t="s">
        <v>9096</v>
      </c>
      <c r="K2848" s="4" t="s">
        <v>9112</v>
      </c>
      <c r="L2848" s="5">
        <v>48200</v>
      </c>
    </row>
    <row r="2849" spans="1:12" x14ac:dyDescent="0.25">
      <c r="A2849" s="3" t="s">
        <v>8648</v>
      </c>
      <c r="B2849" s="4" t="s">
        <v>9087</v>
      </c>
      <c r="C2849" s="4" t="s">
        <v>25</v>
      </c>
      <c r="D2849" s="4" t="s">
        <v>26</v>
      </c>
      <c r="E2849" s="5" t="str">
        <f>"9400103"</f>
        <v>9400103</v>
      </c>
      <c r="F2849" s="3" t="s">
        <v>9113</v>
      </c>
      <c r="G2849" s="5">
        <v>2682028732</v>
      </c>
      <c r="H2849" s="4" t="s">
        <v>9114</v>
      </c>
      <c r="I2849" s="4" t="s">
        <v>9090</v>
      </c>
      <c r="J2849" s="4" t="s">
        <v>9091</v>
      </c>
      <c r="K2849" s="4" t="s">
        <v>9115</v>
      </c>
      <c r="L2849" s="5">
        <v>48100</v>
      </c>
    </row>
    <row r="2850" spans="1:12" x14ac:dyDescent="0.25">
      <c r="A2850" s="3" t="s">
        <v>8648</v>
      </c>
      <c r="B2850" s="4" t="s">
        <v>9087</v>
      </c>
      <c r="C2850" s="4" t="s">
        <v>14</v>
      </c>
      <c r="D2850" s="4" t="s">
        <v>15</v>
      </c>
      <c r="E2850" s="5" t="str">
        <f>"9400061"</f>
        <v>9400061</v>
      </c>
      <c r="F2850" s="3" t="s">
        <v>9116</v>
      </c>
      <c r="G2850" s="5">
        <v>2682051417</v>
      </c>
      <c r="H2850" s="4" t="s">
        <v>9117</v>
      </c>
      <c r="I2850" s="4" t="s">
        <v>9090</v>
      </c>
      <c r="J2850" s="4" t="s">
        <v>9118</v>
      </c>
      <c r="K2850" s="4" t="s">
        <v>9118</v>
      </c>
      <c r="L2850" s="5">
        <v>48100</v>
      </c>
    </row>
    <row r="2851" spans="1:12" x14ac:dyDescent="0.25">
      <c r="A2851" s="3" t="s">
        <v>8648</v>
      </c>
      <c r="B2851" s="4" t="s">
        <v>9087</v>
      </c>
      <c r="C2851" s="4" t="s">
        <v>14</v>
      </c>
      <c r="D2851" s="4" t="s">
        <v>15</v>
      </c>
      <c r="E2851" s="5" t="str">
        <f>"9400203"</f>
        <v>9400203</v>
      </c>
      <c r="F2851" s="3" t="s">
        <v>9119</v>
      </c>
      <c r="G2851" s="5">
        <v>2682031495</v>
      </c>
      <c r="H2851" s="4" t="s">
        <v>9120</v>
      </c>
      <c r="I2851" s="4" t="s">
        <v>9090</v>
      </c>
      <c r="J2851" s="4" t="s">
        <v>9121</v>
      </c>
      <c r="K2851" s="4" t="s">
        <v>9122</v>
      </c>
      <c r="L2851" s="5">
        <v>48061</v>
      </c>
    </row>
    <row r="2852" spans="1:12" x14ac:dyDescent="0.25">
      <c r="A2852" s="3" t="s">
        <v>8648</v>
      </c>
      <c r="B2852" s="4" t="s">
        <v>9087</v>
      </c>
      <c r="C2852" s="4" t="s">
        <v>25</v>
      </c>
      <c r="D2852" s="4" t="s">
        <v>26</v>
      </c>
      <c r="E2852" s="5" t="str">
        <f>"9400194"</f>
        <v>9400194</v>
      </c>
      <c r="F2852" s="3" t="s">
        <v>9123</v>
      </c>
      <c r="G2852" s="5">
        <v>2682027584</v>
      </c>
      <c r="H2852" s="4" t="s">
        <v>9124</v>
      </c>
      <c r="I2852" s="4" t="s">
        <v>9090</v>
      </c>
      <c r="J2852" s="4" t="s">
        <v>9091</v>
      </c>
      <c r="K2852" s="4" t="s">
        <v>9125</v>
      </c>
      <c r="L2852" s="5">
        <v>48100</v>
      </c>
    </row>
    <row r="2853" spans="1:12" x14ac:dyDescent="0.25">
      <c r="A2853" s="3" t="s">
        <v>8648</v>
      </c>
      <c r="B2853" s="4" t="s">
        <v>9087</v>
      </c>
      <c r="C2853" s="4" t="s">
        <v>25</v>
      </c>
      <c r="D2853" s="4" t="s">
        <v>26</v>
      </c>
      <c r="E2853" s="5" t="str">
        <f>"9520612"</f>
        <v>9520612</v>
      </c>
      <c r="F2853" s="3" t="s">
        <v>9126</v>
      </c>
      <c r="G2853" s="5">
        <v>2684031720</v>
      </c>
      <c r="H2853" s="4" t="s">
        <v>9127</v>
      </c>
      <c r="I2853" s="4" t="s">
        <v>9128</v>
      </c>
      <c r="J2853" s="4" t="s">
        <v>9129</v>
      </c>
      <c r="K2853" s="4" t="s">
        <v>9130</v>
      </c>
      <c r="L2853" s="5">
        <v>48060</v>
      </c>
    </row>
    <row r="2854" spans="1:12" x14ac:dyDescent="0.25">
      <c r="A2854" s="3" t="s">
        <v>8648</v>
      </c>
      <c r="B2854" s="4" t="s">
        <v>9087</v>
      </c>
      <c r="C2854" s="4" t="s">
        <v>25</v>
      </c>
      <c r="D2854" s="4" t="s">
        <v>26</v>
      </c>
      <c r="E2854" s="5" t="str">
        <f>"9400211"</f>
        <v>9400211</v>
      </c>
      <c r="F2854" s="3" t="s">
        <v>9131</v>
      </c>
      <c r="G2854" s="5">
        <v>2682024498</v>
      </c>
      <c r="H2854" s="4" t="s">
        <v>9132</v>
      </c>
      <c r="I2854" s="4" t="s">
        <v>9090</v>
      </c>
      <c r="J2854" s="4" t="s">
        <v>9091</v>
      </c>
      <c r="K2854" s="4" t="s">
        <v>9133</v>
      </c>
      <c r="L2854" s="5">
        <v>48100</v>
      </c>
    </row>
    <row r="2855" spans="1:12" x14ac:dyDescent="0.25">
      <c r="A2855" s="3" t="s">
        <v>8648</v>
      </c>
      <c r="B2855" s="4" t="s">
        <v>9087</v>
      </c>
      <c r="C2855" s="4" t="s">
        <v>25</v>
      </c>
      <c r="D2855" s="4" t="s">
        <v>26</v>
      </c>
      <c r="E2855" s="5" t="str">
        <f>"9400098"</f>
        <v>9400098</v>
      </c>
      <c r="F2855" s="3" t="s">
        <v>9134</v>
      </c>
      <c r="G2855" s="5">
        <v>2682024966</v>
      </c>
      <c r="H2855" s="4" t="s">
        <v>9135</v>
      </c>
      <c r="I2855" s="4" t="s">
        <v>9090</v>
      </c>
      <c r="J2855" s="4" t="s">
        <v>9091</v>
      </c>
      <c r="K2855" s="4" t="s">
        <v>9136</v>
      </c>
      <c r="L2855" s="5">
        <v>48100</v>
      </c>
    </row>
    <row r="2856" spans="1:12" x14ac:dyDescent="0.25">
      <c r="A2856" s="3" t="s">
        <v>8648</v>
      </c>
      <c r="B2856" s="4" t="s">
        <v>9087</v>
      </c>
      <c r="C2856" s="4" t="s">
        <v>25</v>
      </c>
      <c r="D2856" s="4" t="s">
        <v>26</v>
      </c>
      <c r="E2856" s="5" t="str">
        <f>"9400208"</f>
        <v>9400208</v>
      </c>
      <c r="F2856" s="3" t="s">
        <v>9137</v>
      </c>
      <c r="G2856" s="5">
        <v>2684024450</v>
      </c>
      <c r="H2856" s="4" t="s">
        <v>9138</v>
      </c>
      <c r="I2856" s="4" t="s">
        <v>9128</v>
      </c>
      <c r="J2856" s="4" t="s">
        <v>9139</v>
      </c>
      <c r="K2856" s="4" t="s">
        <v>9140</v>
      </c>
      <c r="L2856" s="5">
        <v>48062</v>
      </c>
    </row>
    <row r="2857" spans="1:12" x14ac:dyDescent="0.25">
      <c r="A2857" s="3" t="s">
        <v>8648</v>
      </c>
      <c r="B2857" s="4" t="s">
        <v>9087</v>
      </c>
      <c r="C2857" s="4" t="s">
        <v>14</v>
      </c>
      <c r="D2857" s="4" t="s">
        <v>15</v>
      </c>
      <c r="E2857" s="5" t="str">
        <f>"9400055"</f>
        <v>9400055</v>
      </c>
      <c r="F2857" s="3" t="s">
        <v>9141</v>
      </c>
      <c r="G2857" s="5">
        <v>2683041059</v>
      </c>
      <c r="H2857" s="4" t="s">
        <v>9142</v>
      </c>
      <c r="I2857" s="4" t="s">
        <v>9095</v>
      </c>
      <c r="J2857" s="4" t="s">
        <v>9143</v>
      </c>
      <c r="K2857" s="4" t="s">
        <v>9143</v>
      </c>
      <c r="L2857" s="5">
        <v>48200</v>
      </c>
    </row>
    <row r="2858" spans="1:12" x14ac:dyDescent="0.25">
      <c r="A2858" s="3" t="s">
        <v>8648</v>
      </c>
      <c r="B2858" s="4" t="s">
        <v>9087</v>
      </c>
      <c r="C2858" s="4" t="s">
        <v>14</v>
      </c>
      <c r="D2858" s="4" t="s">
        <v>15</v>
      </c>
      <c r="E2858" s="5" t="str">
        <f>"9400012"</f>
        <v>9400012</v>
      </c>
      <c r="F2858" s="3" t="s">
        <v>9144</v>
      </c>
      <c r="G2858" s="5">
        <v>2683022354</v>
      </c>
      <c r="H2858" s="4" t="s">
        <v>9145</v>
      </c>
      <c r="I2858" s="4" t="s">
        <v>9095</v>
      </c>
      <c r="J2858" s="4" t="s">
        <v>9096</v>
      </c>
      <c r="K2858" s="4" t="s">
        <v>9146</v>
      </c>
      <c r="L2858" s="5">
        <v>48200</v>
      </c>
    </row>
    <row r="2859" spans="1:12" x14ac:dyDescent="0.25">
      <c r="A2859" s="3" t="s">
        <v>8648</v>
      </c>
      <c r="B2859" s="4" t="s">
        <v>9087</v>
      </c>
      <c r="C2859" s="4" t="s">
        <v>14</v>
      </c>
      <c r="D2859" s="4" t="s">
        <v>15</v>
      </c>
      <c r="E2859" s="5" t="str">
        <f>"9400164"</f>
        <v>9400164</v>
      </c>
      <c r="F2859" s="3" t="s">
        <v>9147</v>
      </c>
      <c r="G2859" s="5">
        <v>2684041208</v>
      </c>
      <c r="H2859" s="4" t="s">
        <v>9148</v>
      </c>
      <c r="I2859" s="4" t="s">
        <v>9128</v>
      </c>
      <c r="J2859" s="4" t="s">
        <v>9149</v>
      </c>
      <c r="K2859" s="4" t="s">
        <v>9150</v>
      </c>
      <c r="L2859" s="5">
        <v>48062</v>
      </c>
    </row>
    <row r="2860" spans="1:12" x14ac:dyDescent="0.25">
      <c r="A2860" s="3" t="s">
        <v>8648</v>
      </c>
      <c r="B2860" s="4" t="s">
        <v>9087</v>
      </c>
      <c r="C2860" s="4" t="s">
        <v>14</v>
      </c>
      <c r="D2860" s="4" t="s">
        <v>15</v>
      </c>
      <c r="E2860" s="5" t="str">
        <f>"9400097"</f>
        <v>9400097</v>
      </c>
      <c r="F2860" s="3" t="s">
        <v>9151</v>
      </c>
      <c r="G2860" s="5">
        <v>2682028362</v>
      </c>
      <c r="H2860" s="4" t="s">
        <v>9152</v>
      </c>
      <c r="I2860" s="4" t="s">
        <v>9090</v>
      </c>
      <c r="J2860" s="4" t="s">
        <v>9091</v>
      </c>
      <c r="K2860" s="4" t="s">
        <v>9153</v>
      </c>
      <c r="L2860" s="5">
        <v>48100</v>
      </c>
    </row>
    <row r="2861" spans="1:12" x14ac:dyDescent="0.25">
      <c r="A2861" s="3" t="s">
        <v>8648</v>
      </c>
      <c r="B2861" s="4" t="s">
        <v>9087</v>
      </c>
      <c r="C2861" s="4" t="s">
        <v>14</v>
      </c>
      <c r="D2861" s="4" t="s">
        <v>15</v>
      </c>
      <c r="E2861" s="5" t="str">
        <f>"9400014"</f>
        <v>9400014</v>
      </c>
      <c r="F2861" s="3" t="s">
        <v>9154</v>
      </c>
      <c r="G2861" s="5">
        <v>2683022353</v>
      </c>
      <c r="H2861" s="4" t="s">
        <v>9155</v>
      </c>
      <c r="I2861" s="4" t="s">
        <v>9095</v>
      </c>
      <c r="J2861" s="4" t="s">
        <v>9096</v>
      </c>
      <c r="K2861" s="4" t="s">
        <v>9156</v>
      </c>
      <c r="L2861" s="5">
        <v>48200</v>
      </c>
    </row>
    <row r="2862" spans="1:12" x14ac:dyDescent="0.25">
      <c r="A2862" s="3" t="s">
        <v>8648</v>
      </c>
      <c r="B2862" s="4" t="s">
        <v>9087</v>
      </c>
      <c r="C2862" s="4" t="s">
        <v>14</v>
      </c>
      <c r="D2862" s="4" t="s">
        <v>15</v>
      </c>
      <c r="E2862" s="5" t="str">
        <f>"9400105"</f>
        <v>9400105</v>
      </c>
      <c r="F2862" s="3" t="s">
        <v>9157</v>
      </c>
      <c r="G2862" s="5">
        <v>2682028300</v>
      </c>
      <c r="H2862" s="4" t="s">
        <v>9158</v>
      </c>
      <c r="I2862" s="4" t="s">
        <v>9090</v>
      </c>
      <c r="J2862" s="4" t="s">
        <v>9091</v>
      </c>
      <c r="K2862" s="4" t="s">
        <v>9159</v>
      </c>
      <c r="L2862" s="5">
        <v>48100</v>
      </c>
    </row>
    <row r="2863" spans="1:12" x14ac:dyDescent="0.25">
      <c r="A2863" s="3" t="s">
        <v>8648</v>
      </c>
      <c r="B2863" s="4" t="s">
        <v>9087</v>
      </c>
      <c r="C2863" s="4" t="s">
        <v>14</v>
      </c>
      <c r="D2863" s="4" t="s">
        <v>15</v>
      </c>
      <c r="E2863" s="5" t="str">
        <f>"9400214"</f>
        <v>9400214</v>
      </c>
      <c r="F2863" s="3" t="s">
        <v>9160</v>
      </c>
      <c r="G2863" s="5">
        <v>2684022147</v>
      </c>
      <c r="H2863" s="4" t="s">
        <v>9161</v>
      </c>
      <c r="I2863" s="4" t="s">
        <v>9128</v>
      </c>
      <c r="J2863" s="4" t="s">
        <v>9139</v>
      </c>
      <c r="K2863" s="4" t="s">
        <v>9162</v>
      </c>
      <c r="L2863" s="5">
        <v>48062</v>
      </c>
    </row>
    <row r="2864" spans="1:12" x14ac:dyDescent="0.25">
      <c r="A2864" s="3" t="s">
        <v>8648</v>
      </c>
      <c r="B2864" s="4" t="s">
        <v>9087</v>
      </c>
      <c r="C2864" s="4" t="s">
        <v>14</v>
      </c>
      <c r="D2864" s="4" t="s">
        <v>15</v>
      </c>
      <c r="E2864" s="5" t="str">
        <f>"9400106"</f>
        <v>9400106</v>
      </c>
      <c r="F2864" s="3" t="s">
        <v>9163</v>
      </c>
      <c r="G2864" s="5">
        <v>2682028351</v>
      </c>
      <c r="H2864" s="4" t="s">
        <v>9164</v>
      </c>
      <c r="I2864" s="4" t="s">
        <v>9090</v>
      </c>
      <c r="J2864" s="4" t="s">
        <v>9091</v>
      </c>
      <c r="K2864" s="4" t="s">
        <v>9165</v>
      </c>
      <c r="L2864" s="5">
        <v>48100</v>
      </c>
    </row>
    <row r="2865" spans="1:12" x14ac:dyDescent="0.25">
      <c r="A2865" s="3" t="s">
        <v>8648</v>
      </c>
      <c r="B2865" s="4" t="s">
        <v>9087</v>
      </c>
      <c r="C2865" s="4" t="s">
        <v>14</v>
      </c>
      <c r="D2865" s="4" t="s">
        <v>15</v>
      </c>
      <c r="E2865" s="5" t="str">
        <f>"9400143"</f>
        <v>9400143</v>
      </c>
      <c r="F2865" s="3" t="s">
        <v>9166</v>
      </c>
      <c r="G2865" s="5">
        <v>2684022286</v>
      </c>
      <c r="H2865" s="4" t="s">
        <v>9167</v>
      </c>
      <c r="I2865" s="4" t="s">
        <v>9128</v>
      </c>
      <c r="J2865" s="4" t="s">
        <v>9139</v>
      </c>
      <c r="K2865" s="4" t="s">
        <v>8171</v>
      </c>
      <c r="L2865" s="5">
        <v>48062</v>
      </c>
    </row>
    <row r="2866" spans="1:12" x14ac:dyDescent="0.25">
      <c r="A2866" s="3" t="s">
        <v>8648</v>
      </c>
      <c r="B2866" s="4" t="s">
        <v>9087</v>
      </c>
      <c r="C2866" s="4" t="s">
        <v>14</v>
      </c>
      <c r="D2866" s="4" t="s">
        <v>15</v>
      </c>
      <c r="E2866" s="5" t="str">
        <f>"9400230"</f>
        <v>9400230</v>
      </c>
      <c r="F2866" s="3" t="s">
        <v>9168</v>
      </c>
      <c r="G2866" s="5">
        <v>2682023620</v>
      </c>
      <c r="H2866" s="4" t="s">
        <v>9169</v>
      </c>
      <c r="I2866" s="4" t="s">
        <v>9090</v>
      </c>
      <c r="J2866" s="4" t="s">
        <v>9091</v>
      </c>
      <c r="K2866" s="4" t="s">
        <v>9170</v>
      </c>
      <c r="L2866" s="5">
        <v>48100</v>
      </c>
    </row>
    <row r="2867" spans="1:12" x14ac:dyDescent="0.25">
      <c r="A2867" s="3" t="s">
        <v>8648</v>
      </c>
      <c r="B2867" s="4" t="s">
        <v>9087</v>
      </c>
      <c r="C2867" s="4" t="s">
        <v>14</v>
      </c>
      <c r="D2867" s="4" t="s">
        <v>15</v>
      </c>
      <c r="E2867" s="5" t="str">
        <f>"9400215"</f>
        <v>9400215</v>
      </c>
      <c r="F2867" s="3" t="s">
        <v>9171</v>
      </c>
      <c r="G2867" s="5">
        <v>2682027570</v>
      </c>
      <c r="H2867" s="4" t="s">
        <v>9172</v>
      </c>
      <c r="I2867" s="4" t="s">
        <v>9090</v>
      </c>
      <c r="J2867" s="4" t="s">
        <v>9091</v>
      </c>
      <c r="K2867" s="4" t="s">
        <v>9173</v>
      </c>
      <c r="L2867" s="5">
        <v>48100</v>
      </c>
    </row>
    <row r="2868" spans="1:12" x14ac:dyDescent="0.25">
      <c r="A2868" s="3" t="s">
        <v>8648</v>
      </c>
      <c r="B2868" s="4" t="s">
        <v>9087</v>
      </c>
      <c r="C2868" s="4" t="s">
        <v>14</v>
      </c>
      <c r="D2868" s="4" t="s">
        <v>15</v>
      </c>
      <c r="E2868" s="5" t="str">
        <f>"9520632"</f>
        <v>9520632</v>
      </c>
      <c r="F2868" s="3" t="s">
        <v>9174</v>
      </c>
      <c r="G2868" s="5">
        <v>2684032727</v>
      </c>
      <c r="H2868" s="4" t="s">
        <v>9175</v>
      </c>
      <c r="I2868" s="4" t="s">
        <v>9128</v>
      </c>
      <c r="J2868" s="4" t="s">
        <v>9129</v>
      </c>
      <c r="K2868" s="4" t="s">
        <v>9176</v>
      </c>
      <c r="L2868" s="5">
        <v>48060</v>
      </c>
    </row>
    <row r="2869" spans="1:12" x14ac:dyDescent="0.25">
      <c r="A2869" s="3" t="s">
        <v>8648</v>
      </c>
      <c r="B2869" s="4" t="s">
        <v>9087</v>
      </c>
      <c r="C2869" s="4" t="s">
        <v>14</v>
      </c>
      <c r="D2869" s="4" t="s">
        <v>15</v>
      </c>
      <c r="E2869" s="5" t="str">
        <f>"9400048"</f>
        <v>9400048</v>
      </c>
      <c r="F2869" s="3" t="s">
        <v>9177</v>
      </c>
      <c r="G2869" s="5">
        <v>2682031213</v>
      </c>
      <c r="H2869" s="4" t="s">
        <v>9178</v>
      </c>
      <c r="I2869" s="4" t="s">
        <v>9090</v>
      </c>
      <c r="J2869" s="4" t="s">
        <v>9179</v>
      </c>
      <c r="K2869" s="4" t="s">
        <v>9180</v>
      </c>
      <c r="L2869" s="5">
        <v>48061</v>
      </c>
    </row>
    <row r="2870" spans="1:12" x14ac:dyDescent="0.25">
      <c r="A2870" s="3" t="s">
        <v>8648</v>
      </c>
      <c r="B2870" s="4" t="s">
        <v>9087</v>
      </c>
      <c r="C2870" s="4" t="s">
        <v>14</v>
      </c>
      <c r="D2870" s="4" t="s">
        <v>15</v>
      </c>
      <c r="E2870" s="5" t="str">
        <f>"9520633"</f>
        <v>9520633</v>
      </c>
      <c r="F2870" s="3" t="s">
        <v>9181</v>
      </c>
      <c r="G2870" s="5">
        <v>2684032585</v>
      </c>
      <c r="H2870" s="4" t="s">
        <v>9182</v>
      </c>
      <c r="I2870" s="4" t="s">
        <v>9128</v>
      </c>
      <c r="J2870" s="4" t="s">
        <v>9129</v>
      </c>
      <c r="K2870" s="4" t="s">
        <v>9183</v>
      </c>
      <c r="L2870" s="5">
        <v>48060</v>
      </c>
    </row>
    <row r="2871" spans="1:12" x14ac:dyDescent="0.25">
      <c r="A2871" s="3" t="s">
        <v>8648</v>
      </c>
      <c r="B2871" s="4" t="s">
        <v>9087</v>
      </c>
      <c r="C2871" s="4" t="s">
        <v>14</v>
      </c>
      <c r="D2871" s="4" t="s">
        <v>15</v>
      </c>
      <c r="E2871" s="5" t="str">
        <f>"9400099"</f>
        <v>9400099</v>
      </c>
      <c r="F2871" s="3" t="s">
        <v>9184</v>
      </c>
      <c r="G2871" s="5">
        <v>2682022082</v>
      </c>
      <c r="H2871" s="4" t="s">
        <v>9185</v>
      </c>
      <c r="I2871" s="4" t="s">
        <v>9090</v>
      </c>
      <c r="J2871" s="4" t="s">
        <v>9091</v>
      </c>
      <c r="K2871" s="4" t="s">
        <v>9186</v>
      </c>
      <c r="L2871" s="5">
        <v>48100</v>
      </c>
    </row>
    <row r="2872" spans="1:12" x14ac:dyDescent="0.25">
      <c r="A2872" s="3" t="s">
        <v>8648</v>
      </c>
      <c r="B2872" s="4" t="s">
        <v>9087</v>
      </c>
      <c r="C2872" s="4" t="s">
        <v>25</v>
      </c>
      <c r="D2872" s="4" t="s">
        <v>26</v>
      </c>
      <c r="E2872" s="5" t="str">
        <f>"9400013"</f>
        <v>9400013</v>
      </c>
      <c r="F2872" s="3" t="s">
        <v>9187</v>
      </c>
      <c r="G2872" s="5">
        <v>2683023701</v>
      </c>
      <c r="H2872" s="4" t="s">
        <v>9188</v>
      </c>
      <c r="I2872" s="4" t="s">
        <v>9095</v>
      </c>
      <c r="J2872" s="4" t="s">
        <v>9096</v>
      </c>
      <c r="K2872" s="4" t="s">
        <v>9189</v>
      </c>
      <c r="L2872" s="5">
        <v>48200</v>
      </c>
    </row>
    <row r="2873" spans="1:12" x14ac:dyDescent="0.25">
      <c r="A2873" s="3" t="s">
        <v>8648</v>
      </c>
      <c r="B2873" s="4" t="s">
        <v>9087</v>
      </c>
      <c r="C2873" s="4" t="s">
        <v>25</v>
      </c>
      <c r="D2873" s="4" t="s">
        <v>26</v>
      </c>
      <c r="E2873" s="5" t="str">
        <f>"9400212"</f>
        <v>9400212</v>
      </c>
      <c r="F2873" s="3" t="s">
        <v>9190</v>
      </c>
      <c r="G2873" s="5">
        <v>2682029649</v>
      </c>
      <c r="H2873" s="4" t="s">
        <v>9191</v>
      </c>
      <c r="I2873" s="4" t="s">
        <v>9090</v>
      </c>
      <c r="J2873" s="4" t="s">
        <v>9091</v>
      </c>
      <c r="K2873" s="4" t="s">
        <v>9192</v>
      </c>
      <c r="L2873" s="5">
        <v>48100</v>
      </c>
    </row>
    <row r="2874" spans="1:12" x14ac:dyDescent="0.25">
      <c r="A2874" s="3" t="s">
        <v>8648</v>
      </c>
      <c r="B2874" s="4" t="s">
        <v>9087</v>
      </c>
      <c r="C2874" s="4" t="s">
        <v>14</v>
      </c>
      <c r="D2874" s="4" t="s">
        <v>15</v>
      </c>
      <c r="E2874" s="5" t="str">
        <f>"9521346"</f>
        <v>9521346</v>
      </c>
      <c r="F2874" s="3" t="s">
        <v>9193</v>
      </c>
      <c r="G2874" s="5">
        <v>2682360308</v>
      </c>
      <c r="H2874" s="4" t="s">
        <v>9194</v>
      </c>
      <c r="I2874" s="4" t="s">
        <v>9090</v>
      </c>
      <c r="J2874" s="4" t="s">
        <v>9195</v>
      </c>
      <c r="K2874" s="4" t="s">
        <v>9196</v>
      </c>
      <c r="L2874" s="5">
        <v>48100</v>
      </c>
    </row>
    <row r="2875" spans="1:12" x14ac:dyDescent="0.25">
      <c r="A2875" s="3" t="s">
        <v>9197</v>
      </c>
      <c r="B2875" s="4" t="s">
        <v>9198</v>
      </c>
      <c r="C2875" s="4" t="s">
        <v>25</v>
      </c>
      <c r="D2875" s="4" t="s">
        <v>26</v>
      </c>
      <c r="E2875" s="5" t="str">
        <f>"9220208"</f>
        <v>9220208</v>
      </c>
      <c r="F2875" s="3" t="s">
        <v>9199</v>
      </c>
      <c r="G2875" s="5">
        <v>2443024690</v>
      </c>
      <c r="H2875" s="4" t="s">
        <v>9200</v>
      </c>
      <c r="I2875" s="4" t="s">
        <v>9201</v>
      </c>
      <c r="J2875" s="4" t="s">
        <v>9201</v>
      </c>
      <c r="K2875" s="4" t="s">
        <v>9202</v>
      </c>
      <c r="L2875" s="5">
        <v>43300</v>
      </c>
    </row>
    <row r="2876" spans="1:12" x14ac:dyDescent="0.25">
      <c r="A2876" s="3" t="s">
        <v>9197</v>
      </c>
      <c r="B2876" s="4" t="s">
        <v>9198</v>
      </c>
      <c r="C2876" s="4" t="s">
        <v>25</v>
      </c>
      <c r="D2876" s="4" t="s">
        <v>26</v>
      </c>
      <c r="E2876" s="5" t="str">
        <f>"9220210"</f>
        <v>9220210</v>
      </c>
      <c r="F2876" s="3" t="s">
        <v>9203</v>
      </c>
      <c r="G2876" s="5">
        <v>2443022641</v>
      </c>
      <c r="H2876" s="4" t="s">
        <v>9204</v>
      </c>
      <c r="I2876" s="4" t="s">
        <v>9201</v>
      </c>
      <c r="J2876" s="4" t="s">
        <v>9201</v>
      </c>
      <c r="K2876" s="4" t="s">
        <v>9205</v>
      </c>
      <c r="L2876" s="5">
        <v>43300</v>
      </c>
    </row>
    <row r="2877" spans="1:12" x14ac:dyDescent="0.25">
      <c r="A2877" s="3" t="s">
        <v>9197</v>
      </c>
      <c r="B2877" s="4" t="s">
        <v>9198</v>
      </c>
      <c r="C2877" s="4" t="s">
        <v>25</v>
      </c>
      <c r="D2877" s="4" t="s">
        <v>26</v>
      </c>
      <c r="E2877" s="5" t="str">
        <f>"9220404"</f>
        <v>9220404</v>
      </c>
      <c r="F2877" s="3" t="s">
        <v>9206</v>
      </c>
      <c r="G2877" s="5">
        <v>2443023213</v>
      </c>
      <c r="H2877" s="4" t="s">
        <v>9207</v>
      </c>
      <c r="I2877" s="4" t="s">
        <v>9201</v>
      </c>
      <c r="J2877" s="4" t="s">
        <v>9208</v>
      </c>
      <c r="K2877" s="4" t="s">
        <v>9209</v>
      </c>
      <c r="L2877" s="5">
        <v>43300</v>
      </c>
    </row>
    <row r="2878" spans="1:12" x14ac:dyDescent="0.25">
      <c r="A2878" s="3" t="s">
        <v>9197</v>
      </c>
      <c r="B2878" s="4" t="s">
        <v>9198</v>
      </c>
      <c r="C2878" s="4" t="s">
        <v>25</v>
      </c>
      <c r="D2878" s="4" t="s">
        <v>26</v>
      </c>
      <c r="E2878" s="5" t="str">
        <f>"9220370"</f>
        <v>9220370</v>
      </c>
      <c r="F2878" s="3" t="s">
        <v>9210</v>
      </c>
      <c r="G2878" s="5">
        <v>2443024209</v>
      </c>
      <c r="H2878" s="4" t="s">
        <v>9211</v>
      </c>
      <c r="I2878" s="4" t="s">
        <v>9201</v>
      </c>
      <c r="J2878" s="4" t="s">
        <v>9208</v>
      </c>
      <c r="K2878" s="4" t="s">
        <v>9212</v>
      </c>
      <c r="L2878" s="5">
        <v>43300</v>
      </c>
    </row>
    <row r="2879" spans="1:12" x14ac:dyDescent="0.25">
      <c r="A2879" s="3" t="s">
        <v>9197</v>
      </c>
      <c r="B2879" s="4" t="s">
        <v>9198</v>
      </c>
      <c r="C2879" s="4" t="s">
        <v>14</v>
      </c>
      <c r="D2879" s="4" t="s">
        <v>15</v>
      </c>
      <c r="E2879" s="5" t="str">
        <f>"9220097"</f>
        <v>9220097</v>
      </c>
      <c r="F2879" s="3" t="s">
        <v>9213</v>
      </c>
      <c r="G2879" s="5">
        <v>2444022282</v>
      </c>
      <c r="H2879" s="4" t="s">
        <v>9214</v>
      </c>
      <c r="I2879" s="4" t="s">
        <v>9215</v>
      </c>
      <c r="J2879" s="4" t="s">
        <v>9216</v>
      </c>
      <c r="K2879" s="4" t="s">
        <v>9217</v>
      </c>
      <c r="L2879" s="5">
        <v>43200</v>
      </c>
    </row>
    <row r="2880" spans="1:12" x14ac:dyDescent="0.25">
      <c r="A2880" s="3" t="s">
        <v>9197</v>
      </c>
      <c r="B2880" s="4" t="s">
        <v>9198</v>
      </c>
      <c r="C2880" s="4" t="s">
        <v>25</v>
      </c>
      <c r="D2880" s="4" t="s">
        <v>26</v>
      </c>
      <c r="E2880" s="5" t="str">
        <f>"9220274"</f>
        <v>9220274</v>
      </c>
      <c r="F2880" s="3" t="s">
        <v>9218</v>
      </c>
      <c r="G2880" s="5">
        <v>2441021453</v>
      </c>
      <c r="H2880" s="4" t="s">
        <v>9219</v>
      </c>
      <c r="I2880" s="4" t="s">
        <v>9220</v>
      </c>
      <c r="J2880" s="4" t="s">
        <v>9220</v>
      </c>
      <c r="K2880" s="4" t="s">
        <v>9221</v>
      </c>
      <c r="L2880" s="5">
        <v>43100</v>
      </c>
    </row>
    <row r="2881" spans="1:12" x14ac:dyDescent="0.25">
      <c r="A2881" s="3" t="s">
        <v>9197</v>
      </c>
      <c r="B2881" s="4" t="s">
        <v>9198</v>
      </c>
      <c r="C2881" s="4" t="s">
        <v>14</v>
      </c>
      <c r="D2881" s="4" t="s">
        <v>179</v>
      </c>
      <c r="E2881" s="5" t="str">
        <f>"9220218"</f>
        <v>9220218</v>
      </c>
      <c r="F2881" s="3" t="s">
        <v>9222</v>
      </c>
      <c r="G2881" s="5">
        <v>2443309015</v>
      </c>
      <c r="H2881" s="4" t="s">
        <v>9223</v>
      </c>
      <c r="I2881" s="4" t="s">
        <v>9201</v>
      </c>
      <c r="J2881" s="4" t="s">
        <v>9224</v>
      </c>
      <c r="K2881" s="4" t="s">
        <v>9224</v>
      </c>
      <c r="L2881" s="5">
        <v>43063</v>
      </c>
    </row>
    <row r="2882" spans="1:12" x14ac:dyDescent="0.25">
      <c r="A2882" s="3" t="s">
        <v>9197</v>
      </c>
      <c r="B2882" s="4" t="s">
        <v>9198</v>
      </c>
      <c r="C2882" s="4" t="s">
        <v>14</v>
      </c>
      <c r="D2882" s="4" t="s">
        <v>15</v>
      </c>
      <c r="E2882" s="5" t="str">
        <f>"9220234"</f>
        <v>9220234</v>
      </c>
      <c r="F2882" s="3" t="s">
        <v>9225</v>
      </c>
      <c r="G2882" s="5">
        <v>2444031233</v>
      </c>
      <c r="H2882" s="4" t="s">
        <v>9226</v>
      </c>
      <c r="I2882" s="4" t="s">
        <v>9215</v>
      </c>
      <c r="J2882" s="4" t="s">
        <v>9227</v>
      </c>
      <c r="K2882" s="4" t="s">
        <v>9228</v>
      </c>
      <c r="L2882" s="5">
        <v>43062</v>
      </c>
    </row>
    <row r="2883" spans="1:12" x14ac:dyDescent="0.25">
      <c r="A2883" s="3" t="s">
        <v>9197</v>
      </c>
      <c r="B2883" s="4" t="s">
        <v>9198</v>
      </c>
      <c r="C2883" s="4" t="s">
        <v>14</v>
      </c>
      <c r="D2883" s="4" t="s">
        <v>15</v>
      </c>
      <c r="E2883" s="5" t="str">
        <f>"9220248"</f>
        <v>9220248</v>
      </c>
      <c r="F2883" s="3" t="s">
        <v>9229</v>
      </c>
      <c r="G2883" s="5">
        <v>2443309012</v>
      </c>
      <c r="H2883" s="4" t="s">
        <v>9230</v>
      </c>
      <c r="I2883" s="4" t="s">
        <v>9201</v>
      </c>
      <c r="J2883" s="4" t="s">
        <v>9231</v>
      </c>
      <c r="K2883" s="4" t="s">
        <v>9232</v>
      </c>
      <c r="L2883" s="5">
        <v>43300</v>
      </c>
    </row>
    <row r="2884" spans="1:12" x14ac:dyDescent="0.25">
      <c r="A2884" s="3" t="s">
        <v>9197</v>
      </c>
      <c r="B2884" s="4" t="s">
        <v>9198</v>
      </c>
      <c r="C2884" s="4" t="s">
        <v>25</v>
      </c>
      <c r="D2884" s="4" t="s">
        <v>26</v>
      </c>
      <c r="E2884" s="5" t="str">
        <f>"9220329"</f>
        <v>9220329</v>
      </c>
      <c r="F2884" s="3" t="s">
        <v>9233</v>
      </c>
      <c r="G2884" s="5">
        <v>2441020746</v>
      </c>
      <c r="H2884" s="4" t="s">
        <v>9234</v>
      </c>
      <c r="I2884" s="4" t="s">
        <v>9220</v>
      </c>
      <c r="J2884" s="4" t="s">
        <v>9220</v>
      </c>
      <c r="K2884" s="4" t="s">
        <v>9235</v>
      </c>
      <c r="L2884" s="5">
        <v>43100</v>
      </c>
    </row>
    <row r="2885" spans="1:12" x14ac:dyDescent="0.25">
      <c r="A2885" s="3" t="s">
        <v>9197</v>
      </c>
      <c r="B2885" s="4" t="s">
        <v>9198</v>
      </c>
      <c r="C2885" s="4" t="s">
        <v>25</v>
      </c>
      <c r="D2885" s="4" t="s">
        <v>26</v>
      </c>
      <c r="E2885" s="5" t="str">
        <f>"9220398"</f>
        <v>9220398</v>
      </c>
      <c r="F2885" s="3" t="s">
        <v>9236</v>
      </c>
      <c r="G2885" s="5">
        <v>2441079740</v>
      </c>
      <c r="H2885" s="4" t="s">
        <v>9237</v>
      </c>
      <c r="I2885" s="4" t="s">
        <v>9220</v>
      </c>
      <c r="J2885" s="4" t="s">
        <v>9220</v>
      </c>
      <c r="K2885" s="4" t="s">
        <v>9238</v>
      </c>
      <c r="L2885" s="5">
        <v>43100</v>
      </c>
    </row>
    <row r="2886" spans="1:12" x14ac:dyDescent="0.25">
      <c r="A2886" s="3" t="s">
        <v>9197</v>
      </c>
      <c r="B2886" s="4" t="s">
        <v>9198</v>
      </c>
      <c r="C2886" s="4" t="s">
        <v>14</v>
      </c>
      <c r="D2886" s="4" t="s">
        <v>15</v>
      </c>
      <c r="E2886" s="5" t="str">
        <f>"9220040"</f>
        <v>9220040</v>
      </c>
      <c r="F2886" s="3" t="s">
        <v>9239</v>
      </c>
      <c r="G2886" s="5">
        <v>2441055281</v>
      </c>
      <c r="H2886" s="4" t="s">
        <v>9240</v>
      </c>
      <c r="I2886" s="4" t="s">
        <v>9220</v>
      </c>
      <c r="J2886" s="4"/>
      <c r="K2886" s="4" t="s">
        <v>9241</v>
      </c>
      <c r="L2886" s="5">
        <v>43100</v>
      </c>
    </row>
    <row r="2887" spans="1:12" x14ac:dyDescent="0.25">
      <c r="A2887" s="3" t="s">
        <v>9197</v>
      </c>
      <c r="B2887" s="4" t="s">
        <v>9198</v>
      </c>
      <c r="C2887" s="4" t="s">
        <v>14</v>
      </c>
      <c r="D2887" s="4" t="s">
        <v>15</v>
      </c>
      <c r="E2887" s="5" t="str">
        <f>"9220209"</f>
        <v>9220209</v>
      </c>
      <c r="F2887" s="3" t="s">
        <v>9242</v>
      </c>
      <c r="G2887" s="5">
        <v>2443022373</v>
      </c>
      <c r="H2887" s="4" t="s">
        <v>9243</v>
      </c>
      <c r="I2887" s="4" t="s">
        <v>9201</v>
      </c>
      <c r="J2887" s="4" t="s">
        <v>9208</v>
      </c>
      <c r="K2887" s="4" t="s">
        <v>9244</v>
      </c>
      <c r="L2887" s="5">
        <v>43300</v>
      </c>
    </row>
    <row r="2888" spans="1:12" x14ac:dyDescent="0.25">
      <c r="A2888" s="3" t="s">
        <v>9197</v>
      </c>
      <c r="B2888" s="4" t="s">
        <v>9198</v>
      </c>
      <c r="C2888" s="4" t="s">
        <v>14</v>
      </c>
      <c r="D2888" s="4" t="s">
        <v>15</v>
      </c>
      <c r="E2888" s="5" t="str">
        <f>"9220024"</f>
        <v>9220024</v>
      </c>
      <c r="F2888" s="3" t="s">
        <v>9245</v>
      </c>
      <c r="G2888" s="5">
        <v>2443309006</v>
      </c>
      <c r="H2888" s="4" t="s">
        <v>9246</v>
      </c>
      <c r="I2888" s="4" t="s">
        <v>9201</v>
      </c>
      <c r="J2888" s="4" t="s">
        <v>9247</v>
      </c>
      <c r="K2888" s="4" t="s">
        <v>9248</v>
      </c>
      <c r="L2888" s="5">
        <v>43300</v>
      </c>
    </row>
    <row r="2889" spans="1:12" x14ac:dyDescent="0.25">
      <c r="A2889" s="3" t="s">
        <v>9197</v>
      </c>
      <c r="B2889" s="4" t="s">
        <v>9198</v>
      </c>
      <c r="C2889" s="4" t="s">
        <v>14</v>
      </c>
      <c r="D2889" s="4" t="s">
        <v>15</v>
      </c>
      <c r="E2889" s="5" t="str">
        <f>"9220205"</f>
        <v>9220205</v>
      </c>
      <c r="F2889" s="3" t="s">
        <v>9249</v>
      </c>
      <c r="G2889" s="5">
        <v>2441022302</v>
      </c>
      <c r="H2889" s="4" t="s">
        <v>9250</v>
      </c>
      <c r="I2889" s="4" t="s">
        <v>9220</v>
      </c>
      <c r="J2889" s="4" t="s">
        <v>9251</v>
      </c>
      <c r="K2889" s="4" t="s">
        <v>9252</v>
      </c>
      <c r="L2889" s="5">
        <v>43132</v>
      </c>
    </row>
    <row r="2890" spans="1:12" x14ac:dyDescent="0.25">
      <c r="A2890" s="3" t="s">
        <v>9197</v>
      </c>
      <c r="B2890" s="4" t="s">
        <v>9198</v>
      </c>
      <c r="C2890" s="4" t="s">
        <v>14</v>
      </c>
      <c r="D2890" s="4" t="s">
        <v>179</v>
      </c>
      <c r="E2890" s="5" t="str">
        <f>"9220089"</f>
        <v>9220089</v>
      </c>
      <c r="F2890" s="3" t="s">
        <v>9253</v>
      </c>
      <c r="G2890" s="5">
        <v>2441067147</v>
      </c>
      <c r="H2890" s="4" t="s">
        <v>9254</v>
      </c>
      <c r="I2890" s="4" t="s">
        <v>9220</v>
      </c>
      <c r="J2890" s="4" t="s">
        <v>9255</v>
      </c>
      <c r="K2890" s="4" t="s">
        <v>9255</v>
      </c>
      <c r="L2890" s="5">
        <v>43100</v>
      </c>
    </row>
    <row r="2891" spans="1:12" x14ac:dyDescent="0.25">
      <c r="A2891" s="3" t="s">
        <v>9197</v>
      </c>
      <c r="B2891" s="4" t="s">
        <v>9198</v>
      </c>
      <c r="C2891" s="4" t="s">
        <v>14</v>
      </c>
      <c r="D2891" s="4" t="s">
        <v>15</v>
      </c>
      <c r="E2891" s="5" t="str">
        <f>"9220098"</f>
        <v>9220098</v>
      </c>
      <c r="F2891" s="3" t="s">
        <v>9256</v>
      </c>
      <c r="G2891" s="5">
        <v>2444022150</v>
      </c>
      <c r="H2891" s="4" t="s">
        <v>9257</v>
      </c>
      <c r="I2891" s="4" t="s">
        <v>9215</v>
      </c>
      <c r="J2891" s="4" t="s">
        <v>9216</v>
      </c>
      <c r="K2891" s="4" t="s">
        <v>9258</v>
      </c>
      <c r="L2891" s="5">
        <v>43200</v>
      </c>
    </row>
    <row r="2892" spans="1:12" x14ac:dyDescent="0.25">
      <c r="A2892" s="3" t="s">
        <v>9197</v>
      </c>
      <c r="B2892" s="4" t="s">
        <v>9198</v>
      </c>
      <c r="C2892" s="4" t="s">
        <v>14</v>
      </c>
      <c r="D2892" s="4" t="s">
        <v>15</v>
      </c>
      <c r="E2892" s="5" t="str">
        <f>"9220211"</f>
        <v>9220211</v>
      </c>
      <c r="F2892" s="3" t="s">
        <v>9259</v>
      </c>
      <c r="G2892" s="5">
        <v>2443022450</v>
      </c>
      <c r="H2892" s="4" t="s">
        <v>9260</v>
      </c>
      <c r="I2892" s="4" t="s">
        <v>9201</v>
      </c>
      <c r="J2892" s="4" t="s">
        <v>9208</v>
      </c>
      <c r="K2892" s="4" t="s">
        <v>9261</v>
      </c>
      <c r="L2892" s="5">
        <v>43300</v>
      </c>
    </row>
    <row r="2893" spans="1:12" x14ac:dyDescent="0.25">
      <c r="A2893" s="3" t="s">
        <v>9197</v>
      </c>
      <c r="B2893" s="4" t="s">
        <v>9198</v>
      </c>
      <c r="C2893" s="4" t="s">
        <v>25</v>
      </c>
      <c r="D2893" s="4" t="s">
        <v>26</v>
      </c>
      <c r="E2893" s="5" t="str">
        <f>"9220288"</f>
        <v>9220288</v>
      </c>
      <c r="F2893" s="3" t="s">
        <v>9262</v>
      </c>
      <c r="G2893" s="5">
        <v>2441041139</v>
      </c>
      <c r="H2893" s="4" t="s">
        <v>9263</v>
      </c>
      <c r="I2893" s="4" t="s">
        <v>9220</v>
      </c>
      <c r="J2893" s="4" t="s">
        <v>9220</v>
      </c>
      <c r="K2893" s="4" t="s">
        <v>9264</v>
      </c>
      <c r="L2893" s="5">
        <v>43132</v>
      </c>
    </row>
    <row r="2894" spans="1:12" x14ac:dyDescent="0.25">
      <c r="A2894" s="3" t="s">
        <v>9197</v>
      </c>
      <c r="B2894" s="4" t="s">
        <v>9198</v>
      </c>
      <c r="C2894" s="4" t="s">
        <v>14</v>
      </c>
      <c r="D2894" s="4" t="s">
        <v>15</v>
      </c>
      <c r="E2894" s="5" t="str">
        <f>"9220118"</f>
        <v>9220118</v>
      </c>
      <c r="F2894" s="3" t="s">
        <v>9265</v>
      </c>
      <c r="G2894" s="5">
        <v>2441084214</v>
      </c>
      <c r="H2894" s="4" t="s">
        <v>9266</v>
      </c>
      <c r="I2894" s="4" t="s">
        <v>9267</v>
      </c>
      <c r="J2894" s="4" t="s">
        <v>9268</v>
      </c>
      <c r="K2894" s="4" t="s">
        <v>9269</v>
      </c>
      <c r="L2894" s="5">
        <v>43061</v>
      </c>
    </row>
    <row r="2895" spans="1:12" x14ac:dyDescent="0.25">
      <c r="A2895" s="3" t="s">
        <v>9197</v>
      </c>
      <c r="B2895" s="4" t="s">
        <v>9198</v>
      </c>
      <c r="C2895" s="4" t="s">
        <v>25</v>
      </c>
      <c r="D2895" s="4" t="s">
        <v>26</v>
      </c>
      <c r="E2895" s="5" t="str">
        <f>"9220103"</f>
        <v>9220103</v>
      </c>
      <c r="F2895" s="3" t="s">
        <v>9270</v>
      </c>
      <c r="G2895" s="5">
        <v>2441051110</v>
      </c>
      <c r="H2895" s="4" t="s">
        <v>9271</v>
      </c>
      <c r="I2895" s="4" t="s">
        <v>9215</v>
      </c>
      <c r="J2895" s="4" t="s">
        <v>9272</v>
      </c>
      <c r="K2895" s="4" t="s">
        <v>9273</v>
      </c>
      <c r="L2895" s="5">
        <v>43070</v>
      </c>
    </row>
    <row r="2896" spans="1:12" x14ac:dyDescent="0.25">
      <c r="A2896" s="3" t="s">
        <v>9197</v>
      </c>
      <c r="B2896" s="4" t="s">
        <v>9198</v>
      </c>
      <c r="C2896" s="4" t="s">
        <v>14</v>
      </c>
      <c r="D2896" s="4" t="s">
        <v>15</v>
      </c>
      <c r="E2896" s="5" t="str">
        <f>"9220064"</f>
        <v>9220064</v>
      </c>
      <c r="F2896" s="3" t="s">
        <v>9274</v>
      </c>
      <c r="G2896" s="5">
        <v>2441021371</v>
      </c>
      <c r="H2896" s="4" t="s">
        <v>9275</v>
      </c>
      <c r="I2896" s="4" t="s">
        <v>9220</v>
      </c>
      <c r="J2896" s="4" t="s">
        <v>9251</v>
      </c>
      <c r="K2896" s="4" t="s">
        <v>9276</v>
      </c>
      <c r="L2896" s="5">
        <v>43100</v>
      </c>
    </row>
    <row r="2897" spans="1:12" x14ac:dyDescent="0.25">
      <c r="A2897" s="3" t="s">
        <v>9197</v>
      </c>
      <c r="B2897" s="4" t="s">
        <v>9198</v>
      </c>
      <c r="C2897" s="4" t="s">
        <v>25</v>
      </c>
      <c r="D2897" s="4" t="s">
        <v>26</v>
      </c>
      <c r="E2897" s="5" t="str">
        <f>"9220271"</f>
        <v>9220271</v>
      </c>
      <c r="F2897" s="3" t="s">
        <v>9277</v>
      </c>
      <c r="G2897" s="5">
        <v>2441554030</v>
      </c>
      <c r="H2897" s="4" t="s">
        <v>9278</v>
      </c>
      <c r="I2897" s="4" t="s">
        <v>9220</v>
      </c>
      <c r="J2897" s="4" t="s">
        <v>9251</v>
      </c>
      <c r="K2897" s="4" t="s">
        <v>9279</v>
      </c>
      <c r="L2897" s="5">
        <v>43100</v>
      </c>
    </row>
    <row r="2898" spans="1:12" x14ac:dyDescent="0.25">
      <c r="A2898" s="3" t="s">
        <v>9197</v>
      </c>
      <c r="B2898" s="4" t="s">
        <v>9198</v>
      </c>
      <c r="C2898" s="4" t="s">
        <v>25</v>
      </c>
      <c r="D2898" s="4" t="s">
        <v>26</v>
      </c>
      <c r="E2898" s="5" t="str">
        <f>"9220065"</f>
        <v>9220065</v>
      </c>
      <c r="F2898" s="3" t="s">
        <v>9280</v>
      </c>
      <c r="G2898" s="5">
        <v>2441040975</v>
      </c>
      <c r="H2898" s="4" t="s">
        <v>9281</v>
      </c>
      <c r="I2898" s="4" t="s">
        <v>9220</v>
      </c>
      <c r="J2898" s="4" t="s">
        <v>9251</v>
      </c>
      <c r="K2898" s="4" t="s">
        <v>9282</v>
      </c>
      <c r="L2898" s="5">
        <v>43100</v>
      </c>
    </row>
    <row r="2899" spans="1:12" x14ac:dyDescent="0.25">
      <c r="A2899" s="3" t="s">
        <v>9197</v>
      </c>
      <c r="B2899" s="4" t="s">
        <v>9198</v>
      </c>
      <c r="C2899" s="4" t="s">
        <v>14</v>
      </c>
      <c r="D2899" s="4" t="s">
        <v>15</v>
      </c>
      <c r="E2899" s="5" t="str">
        <f>"9220359"</f>
        <v>9220359</v>
      </c>
      <c r="F2899" s="3" t="s">
        <v>9283</v>
      </c>
      <c r="G2899" s="5">
        <v>2443024154</v>
      </c>
      <c r="H2899" s="4" t="s">
        <v>9284</v>
      </c>
      <c r="I2899" s="4" t="s">
        <v>9201</v>
      </c>
      <c r="J2899" s="4" t="s">
        <v>9208</v>
      </c>
      <c r="K2899" s="4" t="s">
        <v>9285</v>
      </c>
      <c r="L2899" s="5">
        <v>43300</v>
      </c>
    </row>
    <row r="2900" spans="1:12" x14ac:dyDescent="0.25">
      <c r="A2900" s="3" t="s">
        <v>9197</v>
      </c>
      <c r="B2900" s="4" t="s">
        <v>9198</v>
      </c>
      <c r="C2900" s="4" t="s">
        <v>25</v>
      </c>
      <c r="D2900" s="4" t="s">
        <v>26</v>
      </c>
      <c r="E2900" s="5" t="str">
        <f>"9220336"</f>
        <v>9220336</v>
      </c>
      <c r="F2900" s="3" t="s">
        <v>9286</v>
      </c>
      <c r="G2900" s="5">
        <v>2441026719</v>
      </c>
      <c r="H2900" s="4" t="s">
        <v>9287</v>
      </c>
      <c r="I2900" s="4" t="s">
        <v>9220</v>
      </c>
      <c r="J2900" s="4" t="s">
        <v>9251</v>
      </c>
      <c r="K2900" s="4" t="s">
        <v>9288</v>
      </c>
      <c r="L2900" s="5">
        <v>43100</v>
      </c>
    </row>
    <row r="2901" spans="1:12" x14ac:dyDescent="0.25">
      <c r="A2901" s="3" t="s">
        <v>9197</v>
      </c>
      <c r="B2901" s="4" t="s">
        <v>9198</v>
      </c>
      <c r="C2901" s="4" t="s">
        <v>14</v>
      </c>
      <c r="D2901" s="4" t="s">
        <v>15</v>
      </c>
      <c r="E2901" s="5" t="str">
        <f>"9520687"</f>
        <v>9520687</v>
      </c>
      <c r="F2901" s="3" t="s">
        <v>9289</v>
      </c>
      <c r="G2901" s="5">
        <v>2441075134</v>
      </c>
      <c r="H2901" s="4" t="s">
        <v>9290</v>
      </c>
      <c r="I2901" s="4" t="s">
        <v>9220</v>
      </c>
      <c r="J2901" s="4" t="s">
        <v>9251</v>
      </c>
      <c r="K2901" s="4" t="s">
        <v>9291</v>
      </c>
      <c r="L2901" s="5">
        <v>43100</v>
      </c>
    </row>
    <row r="2902" spans="1:12" x14ac:dyDescent="0.25">
      <c r="A2902" s="3" t="s">
        <v>9197</v>
      </c>
      <c r="B2902" s="4" t="s">
        <v>9198</v>
      </c>
      <c r="C2902" s="4" t="s">
        <v>14</v>
      </c>
      <c r="D2902" s="4" t="s">
        <v>15</v>
      </c>
      <c r="E2902" s="5" t="str">
        <f>"9220099"</f>
        <v>9220099</v>
      </c>
      <c r="F2902" s="3" t="s">
        <v>9292</v>
      </c>
      <c r="G2902" s="5">
        <v>2444022792</v>
      </c>
      <c r="H2902" s="4" t="s">
        <v>9293</v>
      </c>
      <c r="I2902" s="4" t="s">
        <v>9215</v>
      </c>
      <c r="J2902" s="4" t="s">
        <v>9216</v>
      </c>
      <c r="K2902" s="4" t="s">
        <v>9294</v>
      </c>
      <c r="L2902" s="5">
        <v>43200</v>
      </c>
    </row>
    <row r="2903" spans="1:12" x14ac:dyDescent="0.25">
      <c r="A2903" s="3" t="s">
        <v>9197</v>
      </c>
      <c r="B2903" s="4" t="s">
        <v>9198</v>
      </c>
      <c r="C2903" s="4" t="s">
        <v>25</v>
      </c>
      <c r="D2903" s="4" t="s">
        <v>26</v>
      </c>
      <c r="E2903" s="5" t="str">
        <f>"9220207"</f>
        <v>9220207</v>
      </c>
      <c r="F2903" s="3" t="s">
        <v>9295</v>
      </c>
      <c r="G2903" s="5">
        <v>2441041878</v>
      </c>
      <c r="H2903" s="4" t="s">
        <v>9296</v>
      </c>
      <c r="I2903" s="4" t="s">
        <v>9220</v>
      </c>
      <c r="J2903" s="4" t="s">
        <v>9251</v>
      </c>
      <c r="K2903" s="4" t="s">
        <v>9297</v>
      </c>
      <c r="L2903" s="5">
        <v>43100</v>
      </c>
    </row>
    <row r="2904" spans="1:12" x14ac:dyDescent="0.25">
      <c r="A2904" s="3" t="s">
        <v>9197</v>
      </c>
      <c r="B2904" s="4" t="s">
        <v>9198</v>
      </c>
      <c r="C2904" s="4" t="s">
        <v>25</v>
      </c>
      <c r="D2904" s="4" t="s">
        <v>26</v>
      </c>
      <c r="E2904" s="5" t="str">
        <f>"9220203"</f>
        <v>9220203</v>
      </c>
      <c r="F2904" s="3" t="s">
        <v>9298</v>
      </c>
      <c r="G2904" s="5">
        <v>2441029854</v>
      </c>
      <c r="H2904" s="4" t="s">
        <v>9299</v>
      </c>
      <c r="I2904" s="4" t="s">
        <v>9220</v>
      </c>
      <c r="J2904" s="4" t="s">
        <v>9251</v>
      </c>
      <c r="K2904" s="4" t="s">
        <v>9300</v>
      </c>
      <c r="L2904" s="5">
        <v>43132</v>
      </c>
    </row>
    <row r="2905" spans="1:12" x14ac:dyDescent="0.25">
      <c r="A2905" s="3" t="s">
        <v>9197</v>
      </c>
      <c r="B2905" s="4" t="s">
        <v>9198</v>
      </c>
      <c r="C2905" s="4" t="s">
        <v>25</v>
      </c>
      <c r="D2905" s="4" t="s">
        <v>26</v>
      </c>
      <c r="E2905" s="5" t="str">
        <f>"9220317"</f>
        <v>9220317</v>
      </c>
      <c r="F2905" s="3" t="s">
        <v>9301</v>
      </c>
      <c r="G2905" s="5">
        <v>2444023918</v>
      </c>
      <c r="H2905" s="4" t="s">
        <v>9302</v>
      </c>
      <c r="I2905" s="4" t="s">
        <v>9215</v>
      </c>
      <c r="J2905" s="4" t="s">
        <v>9216</v>
      </c>
      <c r="K2905" s="4" t="s">
        <v>9303</v>
      </c>
      <c r="L2905" s="5">
        <v>43200</v>
      </c>
    </row>
    <row r="2906" spans="1:12" x14ac:dyDescent="0.25">
      <c r="A2906" s="3" t="s">
        <v>9197</v>
      </c>
      <c r="B2906" s="4" t="s">
        <v>9198</v>
      </c>
      <c r="C2906" s="4" t="s">
        <v>14</v>
      </c>
      <c r="D2906" s="4" t="s">
        <v>15</v>
      </c>
      <c r="E2906" s="5" t="str">
        <f>"9220169"</f>
        <v>9220169</v>
      </c>
      <c r="F2906" s="3" t="s">
        <v>9304</v>
      </c>
      <c r="G2906" s="5">
        <v>2445097478</v>
      </c>
      <c r="H2906" s="4" t="s">
        <v>9305</v>
      </c>
      <c r="I2906" s="4" t="s">
        <v>9267</v>
      </c>
      <c r="J2906" s="4" t="s">
        <v>9306</v>
      </c>
      <c r="K2906" s="4" t="s">
        <v>9307</v>
      </c>
      <c r="L2906" s="5">
        <v>43060</v>
      </c>
    </row>
    <row r="2907" spans="1:12" x14ac:dyDescent="0.25">
      <c r="A2907" s="3" t="s">
        <v>9197</v>
      </c>
      <c r="B2907" s="4" t="s">
        <v>9198</v>
      </c>
      <c r="C2907" s="4" t="s">
        <v>25</v>
      </c>
      <c r="D2907" s="4" t="s">
        <v>26</v>
      </c>
      <c r="E2907" s="5" t="str">
        <f>"9220272"</f>
        <v>9220272</v>
      </c>
      <c r="F2907" s="3" t="s">
        <v>9308</v>
      </c>
      <c r="G2907" s="5">
        <v>2441041660</v>
      </c>
      <c r="H2907" s="4" t="s">
        <v>9309</v>
      </c>
      <c r="I2907" s="4" t="s">
        <v>9220</v>
      </c>
      <c r="J2907" s="4" t="s">
        <v>9251</v>
      </c>
      <c r="K2907" s="4" t="s">
        <v>9310</v>
      </c>
      <c r="L2907" s="5">
        <v>43100</v>
      </c>
    </row>
    <row r="2908" spans="1:12" x14ac:dyDescent="0.25">
      <c r="A2908" s="3" t="s">
        <v>9197</v>
      </c>
      <c r="B2908" s="4" t="s">
        <v>9198</v>
      </c>
      <c r="C2908" s="4" t="s">
        <v>14</v>
      </c>
      <c r="D2908" s="4" t="s">
        <v>15</v>
      </c>
      <c r="E2908" s="5" t="str">
        <f>"9220072"</f>
        <v>9220072</v>
      </c>
      <c r="F2908" s="3" t="s">
        <v>9311</v>
      </c>
      <c r="G2908" s="5">
        <v>2441554005</v>
      </c>
      <c r="H2908" s="4" t="s">
        <v>9312</v>
      </c>
      <c r="I2908" s="4" t="s">
        <v>9220</v>
      </c>
      <c r="J2908" s="4" t="s">
        <v>9313</v>
      </c>
      <c r="K2908" s="4" t="s">
        <v>9314</v>
      </c>
      <c r="L2908" s="5">
        <v>43100</v>
      </c>
    </row>
    <row r="2909" spans="1:12" x14ac:dyDescent="0.25">
      <c r="A2909" s="3" t="s">
        <v>9197</v>
      </c>
      <c r="B2909" s="4" t="s">
        <v>9198</v>
      </c>
      <c r="C2909" s="4" t="s">
        <v>14</v>
      </c>
      <c r="D2909" s="4" t="s">
        <v>15</v>
      </c>
      <c r="E2909" s="5" t="str">
        <f>"9220081"</f>
        <v>9220081</v>
      </c>
      <c r="F2909" s="3" t="s">
        <v>9315</v>
      </c>
      <c r="G2909" s="5">
        <v>2441028506</v>
      </c>
      <c r="H2909" s="4" t="s">
        <v>9316</v>
      </c>
      <c r="I2909" s="4" t="s">
        <v>9220</v>
      </c>
      <c r="J2909" s="4" t="s">
        <v>9317</v>
      </c>
      <c r="K2909" s="4" t="s">
        <v>9318</v>
      </c>
      <c r="L2909" s="5">
        <v>43100</v>
      </c>
    </row>
    <row r="2910" spans="1:12" x14ac:dyDescent="0.25">
      <c r="A2910" s="3" t="s">
        <v>9197</v>
      </c>
      <c r="B2910" s="4" t="s">
        <v>9198</v>
      </c>
      <c r="C2910" s="4" t="s">
        <v>14</v>
      </c>
      <c r="D2910" s="4" t="s">
        <v>15</v>
      </c>
      <c r="E2910" s="5" t="str">
        <f>"9220001"</f>
        <v>9220001</v>
      </c>
      <c r="F2910" s="3" t="s">
        <v>9319</v>
      </c>
      <c r="G2910" s="5">
        <v>2441023978</v>
      </c>
      <c r="H2910" s="4" t="s">
        <v>9320</v>
      </c>
      <c r="I2910" s="4" t="s">
        <v>9220</v>
      </c>
      <c r="J2910" s="4" t="s">
        <v>9321</v>
      </c>
      <c r="K2910" s="4" t="s">
        <v>9322</v>
      </c>
      <c r="L2910" s="5">
        <v>43132</v>
      </c>
    </row>
    <row r="2911" spans="1:12" x14ac:dyDescent="0.25">
      <c r="A2911" s="3" t="s">
        <v>9197</v>
      </c>
      <c r="B2911" s="4" t="s">
        <v>9198</v>
      </c>
      <c r="C2911" s="4" t="s">
        <v>25</v>
      </c>
      <c r="D2911" s="4" t="s">
        <v>26</v>
      </c>
      <c r="E2911" s="5" t="str">
        <f>"9220113"</f>
        <v>9220113</v>
      </c>
      <c r="F2911" s="3" t="s">
        <v>9323</v>
      </c>
      <c r="G2911" s="5">
        <v>2445041397</v>
      </c>
      <c r="H2911" s="4" t="s">
        <v>9324</v>
      </c>
      <c r="I2911" s="4" t="s">
        <v>9267</v>
      </c>
      <c r="J2911" s="4" t="s">
        <v>9267</v>
      </c>
      <c r="K2911" s="4" t="s">
        <v>9325</v>
      </c>
      <c r="L2911" s="5">
        <v>43060</v>
      </c>
    </row>
    <row r="2912" spans="1:12" x14ac:dyDescent="0.25">
      <c r="A2912" s="3" t="s">
        <v>9197</v>
      </c>
      <c r="B2912" s="4" t="s">
        <v>9198</v>
      </c>
      <c r="C2912" s="4" t="s">
        <v>14</v>
      </c>
      <c r="D2912" s="4" t="s">
        <v>15</v>
      </c>
      <c r="E2912" s="5" t="str">
        <f>"9220403"</f>
        <v>9220403</v>
      </c>
      <c r="F2912" s="3" t="s">
        <v>9326</v>
      </c>
      <c r="G2912" s="5">
        <v>2441070665</v>
      </c>
      <c r="H2912" s="4" t="s">
        <v>9327</v>
      </c>
      <c r="I2912" s="4" t="s">
        <v>9220</v>
      </c>
      <c r="J2912" s="4" t="s">
        <v>9321</v>
      </c>
      <c r="K2912" s="4" t="s">
        <v>9328</v>
      </c>
      <c r="L2912" s="5">
        <v>43132</v>
      </c>
    </row>
    <row r="2913" spans="1:12" x14ac:dyDescent="0.25">
      <c r="A2913" s="3" t="s">
        <v>9197</v>
      </c>
      <c r="B2913" s="4" t="s">
        <v>9198</v>
      </c>
      <c r="C2913" s="4" t="s">
        <v>14</v>
      </c>
      <c r="D2913" s="4" t="s">
        <v>15</v>
      </c>
      <c r="E2913" s="5" t="str">
        <f>"9220003"</f>
        <v>9220003</v>
      </c>
      <c r="F2913" s="3" t="s">
        <v>9329</v>
      </c>
      <c r="G2913" s="5">
        <v>2441021418</v>
      </c>
      <c r="H2913" s="4" t="s">
        <v>9330</v>
      </c>
      <c r="I2913" s="4" t="s">
        <v>9220</v>
      </c>
      <c r="J2913" s="4" t="s">
        <v>9251</v>
      </c>
      <c r="K2913" s="4" t="s">
        <v>9331</v>
      </c>
      <c r="L2913" s="5">
        <v>43100</v>
      </c>
    </row>
    <row r="2914" spans="1:12" x14ac:dyDescent="0.25">
      <c r="A2914" s="3" t="s">
        <v>9197</v>
      </c>
      <c r="B2914" s="4" t="s">
        <v>9198</v>
      </c>
      <c r="C2914" s="4" t="s">
        <v>14</v>
      </c>
      <c r="D2914" s="4" t="s">
        <v>15</v>
      </c>
      <c r="E2914" s="5" t="str">
        <f>"9220307"</f>
        <v>9220307</v>
      </c>
      <c r="F2914" s="3" t="s">
        <v>9332</v>
      </c>
      <c r="G2914" s="5">
        <v>2441041787</v>
      </c>
      <c r="H2914" s="4" t="s">
        <v>9333</v>
      </c>
      <c r="I2914" s="4" t="s">
        <v>9220</v>
      </c>
      <c r="J2914" s="4" t="s">
        <v>9321</v>
      </c>
      <c r="K2914" s="4" t="s">
        <v>9235</v>
      </c>
      <c r="L2914" s="5">
        <v>43100</v>
      </c>
    </row>
    <row r="2915" spans="1:12" x14ac:dyDescent="0.25">
      <c r="A2915" s="3" t="s">
        <v>9197</v>
      </c>
      <c r="B2915" s="4" t="s">
        <v>9198</v>
      </c>
      <c r="C2915" s="4" t="s">
        <v>14</v>
      </c>
      <c r="D2915" s="4" t="s">
        <v>15</v>
      </c>
      <c r="E2915" s="5" t="str">
        <f>"9220114"</f>
        <v>9220114</v>
      </c>
      <c r="F2915" s="3" t="s">
        <v>9334</v>
      </c>
      <c r="G2915" s="5">
        <v>2445041682</v>
      </c>
      <c r="H2915" s="4" t="s">
        <v>9335</v>
      </c>
      <c r="I2915" s="4" t="s">
        <v>9267</v>
      </c>
      <c r="J2915" s="4" t="s">
        <v>9325</v>
      </c>
      <c r="K2915" s="4" t="s">
        <v>9336</v>
      </c>
      <c r="L2915" s="5">
        <v>43060</v>
      </c>
    </row>
    <row r="2916" spans="1:12" x14ac:dyDescent="0.25">
      <c r="A2916" s="3" t="s">
        <v>9197</v>
      </c>
      <c r="B2916" s="4" t="s">
        <v>9198</v>
      </c>
      <c r="C2916" s="4" t="s">
        <v>14</v>
      </c>
      <c r="D2916" s="4" t="s">
        <v>15</v>
      </c>
      <c r="E2916" s="5" t="str">
        <f>"9220062"</f>
        <v>9220062</v>
      </c>
      <c r="F2916" s="3" t="s">
        <v>9337</v>
      </c>
      <c r="G2916" s="5">
        <v>2441021439</v>
      </c>
      <c r="H2916" s="4" t="s">
        <v>9338</v>
      </c>
      <c r="I2916" s="4" t="s">
        <v>9220</v>
      </c>
      <c r="J2916" s="4" t="s">
        <v>9251</v>
      </c>
      <c r="K2916" s="4" t="s">
        <v>9339</v>
      </c>
      <c r="L2916" s="5">
        <v>43100</v>
      </c>
    </row>
    <row r="2917" spans="1:12" x14ac:dyDescent="0.25">
      <c r="A2917" s="3" t="s">
        <v>9197</v>
      </c>
      <c r="B2917" s="4" t="s">
        <v>9198</v>
      </c>
      <c r="C2917" s="4" t="s">
        <v>14</v>
      </c>
      <c r="D2917" s="4" t="s">
        <v>15</v>
      </c>
      <c r="E2917" s="5" t="str">
        <f>"9220115"</f>
        <v>9220115</v>
      </c>
      <c r="F2917" s="3" t="s">
        <v>9340</v>
      </c>
      <c r="G2917" s="5">
        <v>2445042011</v>
      </c>
      <c r="H2917" s="4" t="s">
        <v>9341</v>
      </c>
      <c r="I2917" s="4" t="s">
        <v>9267</v>
      </c>
      <c r="J2917" s="4" t="s">
        <v>9325</v>
      </c>
      <c r="K2917" s="4" t="s">
        <v>9342</v>
      </c>
      <c r="L2917" s="5">
        <v>43060</v>
      </c>
    </row>
    <row r="2918" spans="1:12" x14ac:dyDescent="0.25">
      <c r="A2918" s="3" t="s">
        <v>9197</v>
      </c>
      <c r="B2918" s="4" t="s">
        <v>9198</v>
      </c>
      <c r="C2918" s="4" t="s">
        <v>14</v>
      </c>
      <c r="D2918" s="4" t="s">
        <v>15</v>
      </c>
      <c r="E2918" s="5" t="str">
        <f>"9220063"</f>
        <v>9220063</v>
      </c>
      <c r="F2918" s="3" t="s">
        <v>9343</v>
      </c>
      <c r="G2918" s="5">
        <v>2441021773</v>
      </c>
      <c r="H2918" s="4" t="s">
        <v>9344</v>
      </c>
      <c r="I2918" s="4" t="s">
        <v>9220</v>
      </c>
      <c r="J2918" s="4" t="s">
        <v>9321</v>
      </c>
      <c r="K2918" s="4" t="s">
        <v>9345</v>
      </c>
      <c r="L2918" s="5">
        <v>43100</v>
      </c>
    </row>
    <row r="2919" spans="1:12" x14ac:dyDescent="0.25">
      <c r="A2919" s="3" t="s">
        <v>9197</v>
      </c>
      <c r="B2919" s="4" t="s">
        <v>9198</v>
      </c>
      <c r="C2919" s="4" t="s">
        <v>14</v>
      </c>
      <c r="D2919" s="4" t="s">
        <v>15</v>
      </c>
      <c r="E2919" s="5" t="str">
        <f>"9220341"</f>
        <v>9220341</v>
      </c>
      <c r="F2919" s="3" t="s">
        <v>9346</v>
      </c>
      <c r="G2919" s="5">
        <v>2441026192</v>
      </c>
      <c r="H2919" s="4" t="s">
        <v>9347</v>
      </c>
      <c r="I2919" s="4" t="s">
        <v>9220</v>
      </c>
      <c r="J2919" s="4" t="s">
        <v>9321</v>
      </c>
      <c r="K2919" s="4" t="s">
        <v>9348</v>
      </c>
      <c r="L2919" s="5">
        <v>43100</v>
      </c>
    </row>
    <row r="2920" spans="1:12" x14ac:dyDescent="0.25">
      <c r="A2920" s="3" t="s">
        <v>9197</v>
      </c>
      <c r="B2920" s="4" t="s">
        <v>9198</v>
      </c>
      <c r="C2920" s="4" t="s">
        <v>14</v>
      </c>
      <c r="D2920" s="4" t="s">
        <v>15</v>
      </c>
      <c r="E2920" s="5" t="str">
        <f>"9220022"</f>
        <v>9220022</v>
      </c>
      <c r="F2920" s="3" t="s">
        <v>9349</v>
      </c>
      <c r="G2920" s="5">
        <v>2441088307</v>
      </c>
      <c r="H2920" s="4" t="s">
        <v>9350</v>
      </c>
      <c r="I2920" s="4" t="s">
        <v>9220</v>
      </c>
      <c r="J2920" s="4" t="s">
        <v>9351</v>
      </c>
      <c r="K2920" s="4" t="s">
        <v>9351</v>
      </c>
      <c r="L2920" s="5">
        <v>43132</v>
      </c>
    </row>
    <row r="2921" spans="1:12" x14ac:dyDescent="0.25">
      <c r="A2921" s="3" t="s">
        <v>9197</v>
      </c>
      <c r="B2921" s="4" t="s">
        <v>9198</v>
      </c>
      <c r="C2921" s="4" t="s">
        <v>14</v>
      </c>
      <c r="D2921" s="4" t="s">
        <v>15</v>
      </c>
      <c r="E2921" s="5" t="str">
        <f>"9220002"</f>
        <v>9220002</v>
      </c>
      <c r="F2921" s="3" t="s">
        <v>9352</v>
      </c>
      <c r="G2921" s="5">
        <v>2441022806</v>
      </c>
      <c r="H2921" s="4" t="s">
        <v>9353</v>
      </c>
      <c r="I2921" s="4" t="s">
        <v>9220</v>
      </c>
      <c r="J2921" s="4" t="s">
        <v>9251</v>
      </c>
      <c r="K2921" s="4" t="s">
        <v>9279</v>
      </c>
      <c r="L2921" s="5">
        <v>43132</v>
      </c>
    </row>
    <row r="2922" spans="1:12" x14ac:dyDescent="0.25">
      <c r="A2922" s="3" t="s">
        <v>9197</v>
      </c>
      <c r="B2922" s="4" t="s">
        <v>9198</v>
      </c>
      <c r="C2922" s="4" t="s">
        <v>14</v>
      </c>
      <c r="D2922" s="4" t="s">
        <v>15</v>
      </c>
      <c r="E2922" s="5" t="str">
        <f>"9220204"</f>
        <v>9220204</v>
      </c>
      <c r="F2922" s="3" t="s">
        <v>9354</v>
      </c>
      <c r="G2922" s="5">
        <v>2441022664</v>
      </c>
      <c r="H2922" s="4" t="s">
        <v>9355</v>
      </c>
      <c r="I2922" s="4" t="s">
        <v>9220</v>
      </c>
      <c r="J2922" s="4" t="s">
        <v>9251</v>
      </c>
      <c r="K2922" s="4" t="s">
        <v>9356</v>
      </c>
      <c r="L2922" s="5">
        <v>43100</v>
      </c>
    </row>
    <row r="2923" spans="1:12" x14ac:dyDescent="0.25">
      <c r="A2923" s="3" t="s">
        <v>9197</v>
      </c>
      <c r="B2923" s="4" t="s">
        <v>9198</v>
      </c>
      <c r="C2923" s="4" t="s">
        <v>14</v>
      </c>
      <c r="D2923" s="4" t="s">
        <v>15</v>
      </c>
      <c r="E2923" s="5" t="str">
        <f>"9220206"</f>
        <v>9220206</v>
      </c>
      <c r="F2923" s="3" t="s">
        <v>9357</v>
      </c>
      <c r="G2923" s="5">
        <v>2441023602</v>
      </c>
      <c r="H2923" s="4" t="s">
        <v>9358</v>
      </c>
      <c r="I2923" s="4" t="s">
        <v>9220</v>
      </c>
      <c r="J2923" s="4" t="s">
        <v>9251</v>
      </c>
      <c r="K2923" s="4" t="s">
        <v>9359</v>
      </c>
      <c r="L2923" s="5">
        <v>43131</v>
      </c>
    </row>
    <row r="2924" spans="1:12" x14ac:dyDescent="0.25">
      <c r="A2924" s="3" t="s">
        <v>9197</v>
      </c>
      <c r="B2924" s="4" t="s">
        <v>9198</v>
      </c>
      <c r="C2924" s="4" t="s">
        <v>14</v>
      </c>
      <c r="D2924" s="4" t="s">
        <v>15</v>
      </c>
      <c r="E2924" s="5" t="str">
        <f>"9220240"</f>
        <v>9220240</v>
      </c>
      <c r="F2924" s="3" t="s">
        <v>9360</v>
      </c>
      <c r="G2924" s="5">
        <v>2443309018</v>
      </c>
      <c r="H2924" s="4" t="s">
        <v>9361</v>
      </c>
      <c r="I2924" s="4" t="s">
        <v>9201</v>
      </c>
      <c r="J2924" s="4" t="s">
        <v>6148</v>
      </c>
      <c r="K2924" s="4" t="s">
        <v>6148</v>
      </c>
      <c r="L2924" s="5">
        <v>43300</v>
      </c>
    </row>
    <row r="2925" spans="1:12" x14ac:dyDescent="0.25">
      <c r="A2925" s="3" t="s">
        <v>9197</v>
      </c>
      <c r="B2925" s="4" t="s">
        <v>9198</v>
      </c>
      <c r="C2925" s="4" t="s">
        <v>14</v>
      </c>
      <c r="D2925" s="4" t="s">
        <v>15</v>
      </c>
      <c r="E2925" s="5" t="str">
        <f>"9220242"</f>
        <v>9220242</v>
      </c>
      <c r="F2925" s="3" t="s">
        <v>9362</v>
      </c>
      <c r="G2925" s="5">
        <v>2443031234</v>
      </c>
      <c r="H2925" s="4" t="s">
        <v>9363</v>
      </c>
      <c r="I2925" s="4" t="s">
        <v>9201</v>
      </c>
      <c r="J2925" s="4" t="s">
        <v>9364</v>
      </c>
      <c r="K2925" s="4" t="s">
        <v>9364</v>
      </c>
      <c r="L2925" s="5">
        <v>43063</v>
      </c>
    </row>
    <row r="2926" spans="1:12" x14ac:dyDescent="0.25">
      <c r="A2926" s="3" t="s">
        <v>9197</v>
      </c>
      <c r="B2926" s="4" t="s">
        <v>9198</v>
      </c>
      <c r="C2926" s="4" t="s">
        <v>14</v>
      </c>
      <c r="D2926" s="4" t="s">
        <v>15</v>
      </c>
      <c r="E2926" s="5" t="str">
        <f>"9220102"</f>
        <v>9220102</v>
      </c>
      <c r="F2926" s="3" t="s">
        <v>9365</v>
      </c>
      <c r="G2926" s="5">
        <v>2441051448</v>
      </c>
      <c r="H2926" s="4" t="s">
        <v>9366</v>
      </c>
      <c r="I2926" s="4" t="s">
        <v>9215</v>
      </c>
      <c r="J2926" s="4" t="s">
        <v>9367</v>
      </c>
      <c r="K2926" s="4" t="s">
        <v>9273</v>
      </c>
      <c r="L2926" s="5">
        <v>43070</v>
      </c>
    </row>
    <row r="2927" spans="1:12" x14ac:dyDescent="0.25">
      <c r="A2927" s="3" t="s">
        <v>9197</v>
      </c>
      <c r="B2927" s="4" t="s">
        <v>9368</v>
      </c>
      <c r="C2927" s="4" t="s">
        <v>25</v>
      </c>
      <c r="D2927" s="4" t="s">
        <v>26</v>
      </c>
      <c r="E2927" s="5" t="str">
        <f>"9310325"</f>
        <v>9310325</v>
      </c>
      <c r="F2927" s="3" t="s">
        <v>9369</v>
      </c>
      <c r="G2927" s="5">
        <v>2410614772</v>
      </c>
      <c r="H2927" s="4" t="s">
        <v>9370</v>
      </c>
      <c r="I2927" s="4" t="s">
        <v>9371</v>
      </c>
      <c r="J2927" s="4" t="s">
        <v>9372</v>
      </c>
      <c r="K2927" s="4" t="s">
        <v>9373</v>
      </c>
      <c r="L2927" s="5">
        <v>41334</v>
      </c>
    </row>
    <row r="2928" spans="1:12" x14ac:dyDescent="0.25">
      <c r="A2928" s="3" t="s">
        <v>9197</v>
      </c>
      <c r="B2928" s="4" t="s">
        <v>9368</v>
      </c>
      <c r="C2928" s="4" t="s">
        <v>25</v>
      </c>
      <c r="D2928" s="4" t="s">
        <v>26</v>
      </c>
      <c r="E2928" s="5" t="str">
        <f>"9310180"</f>
        <v>9310180</v>
      </c>
      <c r="F2928" s="3" t="s">
        <v>9374</v>
      </c>
      <c r="G2928" s="5">
        <v>2410922020</v>
      </c>
      <c r="H2928" s="4" t="s">
        <v>9375</v>
      </c>
      <c r="I2928" s="4" t="s">
        <v>9376</v>
      </c>
      <c r="J2928" s="4" t="s">
        <v>5736</v>
      </c>
      <c r="K2928" s="4" t="s">
        <v>9377</v>
      </c>
      <c r="L2928" s="5">
        <v>41500</v>
      </c>
    </row>
    <row r="2929" spans="1:12" x14ac:dyDescent="0.25">
      <c r="A2929" s="3" t="s">
        <v>9197</v>
      </c>
      <c r="B2929" s="4" t="s">
        <v>9368</v>
      </c>
      <c r="C2929" s="4" t="s">
        <v>14</v>
      </c>
      <c r="D2929" s="4" t="s">
        <v>15</v>
      </c>
      <c r="E2929" s="5" t="str">
        <f>"9310186"</f>
        <v>9310186</v>
      </c>
      <c r="F2929" s="3" t="s">
        <v>9378</v>
      </c>
      <c r="G2929" s="5">
        <v>2410851259</v>
      </c>
      <c r="H2929" s="4" t="s">
        <v>9379</v>
      </c>
      <c r="I2929" s="4" t="s">
        <v>9371</v>
      </c>
      <c r="J2929" s="4" t="s">
        <v>9380</v>
      </c>
      <c r="K2929" s="4" t="s">
        <v>9381</v>
      </c>
      <c r="L2929" s="5">
        <v>41500</v>
      </c>
    </row>
    <row r="2930" spans="1:12" x14ac:dyDescent="0.25">
      <c r="A2930" s="3" t="s">
        <v>9197</v>
      </c>
      <c r="B2930" s="4" t="s">
        <v>9368</v>
      </c>
      <c r="C2930" s="4" t="s">
        <v>25</v>
      </c>
      <c r="D2930" s="4" t="s">
        <v>26</v>
      </c>
      <c r="E2930" s="5" t="str">
        <f>"9310421"</f>
        <v>9310421</v>
      </c>
      <c r="F2930" s="3" t="s">
        <v>9382</v>
      </c>
      <c r="G2930" s="5">
        <v>2410000001</v>
      </c>
      <c r="H2930" s="4" t="s">
        <v>9383</v>
      </c>
      <c r="I2930" s="4" t="s">
        <v>9371</v>
      </c>
      <c r="J2930" s="4" t="s">
        <v>9372</v>
      </c>
      <c r="K2930" s="4" t="s">
        <v>9384</v>
      </c>
      <c r="L2930" s="5">
        <v>41336</v>
      </c>
    </row>
    <row r="2931" spans="1:12" x14ac:dyDescent="0.25">
      <c r="A2931" s="3" t="s">
        <v>9197</v>
      </c>
      <c r="B2931" s="4" t="s">
        <v>9368</v>
      </c>
      <c r="C2931" s="4" t="s">
        <v>25</v>
      </c>
      <c r="D2931" s="4" t="s">
        <v>26</v>
      </c>
      <c r="E2931" s="5" t="str">
        <f>"9310099"</f>
        <v>9310099</v>
      </c>
      <c r="F2931" s="3" t="s">
        <v>9385</v>
      </c>
      <c r="G2931" s="5">
        <v>2410613995</v>
      </c>
      <c r="H2931" s="4" t="s">
        <v>9386</v>
      </c>
      <c r="I2931" s="4" t="s">
        <v>9371</v>
      </c>
      <c r="J2931" s="4" t="s">
        <v>9372</v>
      </c>
      <c r="K2931" s="4" t="s">
        <v>9387</v>
      </c>
      <c r="L2931" s="5">
        <v>41334</v>
      </c>
    </row>
    <row r="2932" spans="1:12" x14ac:dyDescent="0.25">
      <c r="A2932" s="3" t="s">
        <v>9197</v>
      </c>
      <c r="B2932" s="4" t="s">
        <v>9368</v>
      </c>
      <c r="C2932" s="4" t="s">
        <v>25</v>
      </c>
      <c r="D2932" s="4" t="s">
        <v>26</v>
      </c>
      <c r="E2932" s="5" t="str">
        <f>"9310155"</f>
        <v>9310155</v>
      </c>
      <c r="F2932" s="3" t="s">
        <v>9388</v>
      </c>
      <c r="G2932" s="5">
        <v>2410239897</v>
      </c>
      <c r="H2932" s="4" t="s">
        <v>9389</v>
      </c>
      <c r="I2932" s="4" t="s">
        <v>9371</v>
      </c>
      <c r="J2932" s="4" t="s">
        <v>9372</v>
      </c>
      <c r="K2932" s="4" t="s">
        <v>9390</v>
      </c>
      <c r="L2932" s="5">
        <v>41335</v>
      </c>
    </row>
    <row r="2933" spans="1:12" x14ac:dyDescent="0.25">
      <c r="A2933" s="3" t="s">
        <v>9197</v>
      </c>
      <c r="B2933" s="4" t="s">
        <v>9368</v>
      </c>
      <c r="C2933" s="4" t="s">
        <v>25</v>
      </c>
      <c r="D2933" s="4" t="s">
        <v>26</v>
      </c>
      <c r="E2933" s="5" t="str">
        <f>"9310110"</f>
        <v>9310110</v>
      </c>
      <c r="F2933" s="3" t="s">
        <v>9391</v>
      </c>
      <c r="G2933" s="5">
        <v>2410254043</v>
      </c>
      <c r="H2933" s="4" t="s">
        <v>9392</v>
      </c>
      <c r="I2933" s="4" t="s">
        <v>9371</v>
      </c>
      <c r="J2933" s="4" t="s">
        <v>9372</v>
      </c>
      <c r="K2933" s="4" t="s">
        <v>9393</v>
      </c>
      <c r="L2933" s="5">
        <v>41222</v>
      </c>
    </row>
    <row r="2934" spans="1:12" x14ac:dyDescent="0.25">
      <c r="A2934" s="3" t="s">
        <v>9197</v>
      </c>
      <c r="B2934" s="4" t="s">
        <v>9368</v>
      </c>
      <c r="C2934" s="4" t="s">
        <v>25</v>
      </c>
      <c r="D2934" s="4" t="s">
        <v>26</v>
      </c>
      <c r="E2934" s="5" t="str">
        <f>"9310371"</f>
        <v>9310371</v>
      </c>
      <c r="F2934" s="3" t="s">
        <v>9394</v>
      </c>
      <c r="G2934" s="5">
        <v>2410620726</v>
      </c>
      <c r="H2934" s="4" t="s">
        <v>9395</v>
      </c>
      <c r="I2934" s="4" t="s">
        <v>9371</v>
      </c>
      <c r="J2934" s="4" t="s">
        <v>9372</v>
      </c>
      <c r="K2934" s="4" t="s">
        <v>9396</v>
      </c>
      <c r="L2934" s="5">
        <v>41335</v>
      </c>
    </row>
    <row r="2935" spans="1:12" x14ac:dyDescent="0.25">
      <c r="A2935" s="3" t="s">
        <v>9197</v>
      </c>
      <c r="B2935" s="4" t="s">
        <v>9368</v>
      </c>
      <c r="C2935" s="4" t="s">
        <v>25</v>
      </c>
      <c r="D2935" s="4" t="s">
        <v>26</v>
      </c>
      <c r="E2935" s="5" t="str">
        <f>"9310170"</f>
        <v>9310170</v>
      </c>
      <c r="F2935" s="3" t="s">
        <v>9397</v>
      </c>
      <c r="G2935" s="5">
        <v>2410811444</v>
      </c>
      <c r="H2935" s="4" t="s">
        <v>9398</v>
      </c>
      <c r="I2935" s="4" t="s">
        <v>9371</v>
      </c>
      <c r="J2935" s="4" t="s">
        <v>9399</v>
      </c>
      <c r="K2935" s="4" t="s">
        <v>9399</v>
      </c>
      <c r="L2935" s="5">
        <v>41500</v>
      </c>
    </row>
    <row r="2936" spans="1:12" x14ac:dyDescent="0.25">
      <c r="A2936" s="3" t="s">
        <v>9197</v>
      </c>
      <c r="B2936" s="4" t="s">
        <v>9368</v>
      </c>
      <c r="C2936" s="4" t="s">
        <v>14</v>
      </c>
      <c r="D2936" s="4" t="s">
        <v>15</v>
      </c>
      <c r="E2936" s="5" t="str">
        <f>"9310398"</f>
        <v>9310398</v>
      </c>
      <c r="F2936" s="3" t="s">
        <v>9400</v>
      </c>
      <c r="G2936" s="5">
        <v>2410614622</v>
      </c>
      <c r="H2936" s="4" t="s">
        <v>9401</v>
      </c>
      <c r="I2936" s="4" t="s">
        <v>9371</v>
      </c>
      <c r="J2936" s="4" t="s">
        <v>9372</v>
      </c>
      <c r="K2936" s="4" t="s">
        <v>9402</v>
      </c>
      <c r="L2936" s="5">
        <v>41334</v>
      </c>
    </row>
    <row r="2937" spans="1:12" x14ac:dyDescent="0.25">
      <c r="A2937" s="3" t="s">
        <v>9197</v>
      </c>
      <c r="B2937" s="4" t="s">
        <v>9368</v>
      </c>
      <c r="C2937" s="4" t="s">
        <v>14</v>
      </c>
      <c r="D2937" s="4" t="s">
        <v>15</v>
      </c>
      <c r="E2937" s="5" t="str">
        <f>"9310257"</f>
        <v>9310257</v>
      </c>
      <c r="F2937" s="3" t="s">
        <v>9403</v>
      </c>
      <c r="G2937" s="5">
        <v>2410941229</v>
      </c>
      <c r="H2937" s="4" t="s">
        <v>9404</v>
      </c>
      <c r="I2937" s="4" t="s">
        <v>9371</v>
      </c>
      <c r="J2937" s="4" t="s">
        <v>9405</v>
      </c>
      <c r="K2937" s="4" t="s">
        <v>9406</v>
      </c>
      <c r="L2937" s="5">
        <v>40011</v>
      </c>
    </row>
    <row r="2938" spans="1:12" x14ac:dyDescent="0.25">
      <c r="A2938" s="3" t="s">
        <v>9197</v>
      </c>
      <c r="B2938" s="4" t="s">
        <v>9368</v>
      </c>
      <c r="C2938" s="4" t="s">
        <v>14</v>
      </c>
      <c r="D2938" s="4" t="s">
        <v>15</v>
      </c>
      <c r="E2938" s="5" t="str">
        <f>"9310249"</f>
        <v>9310249</v>
      </c>
      <c r="F2938" s="3" t="s">
        <v>9407</v>
      </c>
      <c r="G2938" s="5">
        <v>2495041377</v>
      </c>
      <c r="H2938" s="4" t="s">
        <v>9408</v>
      </c>
      <c r="I2938" s="4" t="s">
        <v>9409</v>
      </c>
      <c r="J2938" s="4" t="s">
        <v>9410</v>
      </c>
      <c r="K2938" s="4" t="s">
        <v>9410</v>
      </c>
      <c r="L2938" s="5">
        <v>40007</v>
      </c>
    </row>
    <row r="2939" spans="1:12" ht="30" x14ac:dyDescent="0.25">
      <c r="A2939" s="3" t="s">
        <v>9197</v>
      </c>
      <c r="B2939" s="4" t="s">
        <v>9368</v>
      </c>
      <c r="C2939" s="4" t="s">
        <v>14</v>
      </c>
      <c r="D2939" s="4" t="s">
        <v>15</v>
      </c>
      <c r="E2939" s="5" t="str">
        <f>"9310396"</f>
        <v>9310396</v>
      </c>
      <c r="F2939" s="3" t="s">
        <v>9411</v>
      </c>
      <c r="G2939" s="5">
        <v>2410571760</v>
      </c>
      <c r="H2939" s="4" t="s">
        <v>9412</v>
      </c>
      <c r="I2939" s="4" t="s">
        <v>9371</v>
      </c>
      <c r="J2939" s="4" t="s">
        <v>9372</v>
      </c>
      <c r="K2939" s="4" t="s">
        <v>9413</v>
      </c>
      <c r="L2939" s="5">
        <v>41336</v>
      </c>
    </row>
    <row r="2940" spans="1:12" x14ac:dyDescent="0.25">
      <c r="A2940" s="3" t="s">
        <v>9197</v>
      </c>
      <c r="B2940" s="4" t="s">
        <v>9368</v>
      </c>
      <c r="C2940" s="4" t="s">
        <v>14</v>
      </c>
      <c r="D2940" s="4" t="s">
        <v>15</v>
      </c>
      <c r="E2940" s="5" t="str">
        <f>"9310160"</f>
        <v>9310160</v>
      </c>
      <c r="F2940" s="3" t="s">
        <v>9414</v>
      </c>
      <c r="G2940" s="5">
        <v>2410230170</v>
      </c>
      <c r="H2940" s="4" t="s">
        <v>9415</v>
      </c>
      <c r="I2940" s="4" t="s">
        <v>9371</v>
      </c>
      <c r="J2940" s="4" t="s">
        <v>9372</v>
      </c>
      <c r="K2940" s="4" t="s">
        <v>9416</v>
      </c>
      <c r="L2940" s="5">
        <v>41336</v>
      </c>
    </row>
    <row r="2941" spans="1:12" x14ac:dyDescent="0.25">
      <c r="A2941" s="3" t="s">
        <v>9197</v>
      </c>
      <c r="B2941" s="4" t="s">
        <v>9368</v>
      </c>
      <c r="C2941" s="4" t="s">
        <v>14</v>
      </c>
      <c r="D2941" s="4" t="s">
        <v>15</v>
      </c>
      <c r="E2941" s="5" t="str">
        <f>"9310217"</f>
        <v>9310217</v>
      </c>
      <c r="F2941" s="3" t="s">
        <v>9417</v>
      </c>
      <c r="G2941" s="5">
        <v>2410236239</v>
      </c>
      <c r="H2941" s="4" t="s">
        <v>9418</v>
      </c>
      <c r="I2941" s="4" t="s">
        <v>9371</v>
      </c>
      <c r="J2941" s="4" t="s">
        <v>9372</v>
      </c>
      <c r="K2941" s="4" t="s">
        <v>9419</v>
      </c>
      <c r="L2941" s="5">
        <v>41221</v>
      </c>
    </row>
    <row r="2942" spans="1:12" x14ac:dyDescent="0.25">
      <c r="A2942" s="3" t="s">
        <v>9197</v>
      </c>
      <c r="B2942" s="4" t="s">
        <v>9368</v>
      </c>
      <c r="C2942" s="4" t="s">
        <v>14</v>
      </c>
      <c r="D2942" s="4" t="s">
        <v>15</v>
      </c>
      <c r="E2942" s="5" t="str">
        <f>"9310215"</f>
        <v>9310215</v>
      </c>
      <c r="F2942" s="3" t="s">
        <v>9420</v>
      </c>
      <c r="G2942" s="5">
        <v>2410231430</v>
      </c>
      <c r="H2942" s="4" t="s">
        <v>9421</v>
      </c>
      <c r="I2942" s="4" t="s">
        <v>9371</v>
      </c>
      <c r="J2942" s="4" t="s">
        <v>9372</v>
      </c>
      <c r="K2942" s="4" t="s">
        <v>9422</v>
      </c>
      <c r="L2942" s="5">
        <v>41336</v>
      </c>
    </row>
    <row r="2943" spans="1:12" x14ac:dyDescent="0.25">
      <c r="A2943" s="3" t="s">
        <v>9197</v>
      </c>
      <c r="B2943" s="4" t="s">
        <v>9368</v>
      </c>
      <c r="C2943" s="4" t="s">
        <v>14</v>
      </c>
      <c r="D2943" s="4" t="s">
        <v>15</v>
      </c>
      <c r="E2943" s="5" t="str">
        <f>"9310161"</f>
        <v>9310161</v>
      </c>
      <c r="F2943" s="3" t="s">
        <v>9423</v>
      </c>
      <c r="G2943" s="5">
        <v>2410234862</v>
      </c>
      <c r="H2943" s="4" t="s">
        <v>9424</v>
      </c>
      <c r="I2943" s="4" t="s">
        <v>9371</v>
      </c>
      <c r="J2943" s="4" t="s">
        <v>9372</v>
      </c>
      <c r="K2943" s="4" t="s">
        <v>9425</v>
      </c>
      <c r="L2943" s="5">
        <v>41448</v>
      </c>
    </row>
    <row r="2944" spans="1:12" x14ac:dyDescent="0.25">
      <c r="A2944" s="3" t="s">
        <v>9197</v>
      </c>
      <c r="B2944" s="4" t="s">
        <v>9368</v>
      </c>
      <c r="C2944" s="4" t="s">
        <v>25</v>
      </c>
      <c r="D2944" s="4" t="s">
        <v>26</v>
      </c>
      <c r="E2944" s="5" t="str">
        <f>"9310485"</f>
        <v>9310485</v>
      </c>
      <c r="F2944" s="3" t="s">
        <v>9426</v>
      </c>
      <c r="G2944" s="5">
        <v>2411103860</v>
      </c>
      <c r="H2944" s="4" t="s">
        <v>9427</v>
      </c>
      <c r="I2944" s="4" t="s">
        <v>9371</v>
      </c>
      <c r="J2944" s="4" t="s">
        <v>9372</v>
      </c>
      <c r="K2944" s="4" t="s">
        <v>9428</v>
      </c>
      <c r="L2944" s="5">
        <v>41223</v>
      </c>
    </row>
    <row r="2945" spans="1:12" x14ac:dyDescent="0.25">
      <c r="A2945" s="3" t="s">
        <v>9197</v>
      </c>
      <c r="B2945" s="4" t="s">
        <v>9368</v>
      </c>
      <c r="C2945" s="4" t="s">
        <v>25</v>
      </c>
      <c r="D2945" s="4" t="s">
        <v>26</v>
      </c>
      <c r="E2945" s="5" t="str">
        <f>"9310343"</f>
        <v>9310343</v>
      </c>
      <c r="F2945" s="3" t="s">
        <v>9429</v>
      </c>
      <c r="G2945" s="5">
        <v>2410000051</v>
      </c>
      <c r="H2945" s="4" t="s">
        <v>9430</v>
      </c>
      <c r="I2945" s="4" t="s">
        <v>9371</v>
      </c>
      <c r="J2945" s="4" t="s">
        <v>9372</v>
      </c>
      <c r="K2945" s="4" t="s">
        <v>9431</v>
      </c>
      <c r="L2945" s="5">
        <v>41335</v>
      </c>
    </row>
    <row r="2946" spans="1:12" x14ac:dyDescent="0.25">
      <c r="A2946" s="3" t="s">
        <v>9197</v>
      </c>
      <c r="B2946" s="4" t="s">
        <v>9368</v>
      </c>
      <c r="C2946" s="4" t="s">
        <v>14</v>
      </c>
      <c r="D2946" s="4" t="s">
        <v>15</v>
      </c>
      <c r="E2946" s="5" t="str">
        <f>"9310076"</f>
        <v>9310076</v>
      </c>
      <c r="F2946" s="3" t="s">
        <v>9432</v>
      </c>
      <c r="G2946" s="5">
        <v>2494022308</v>
      </c>
      <c r="H2946" s="4" t="s">
        <v>9433</v>
      </c>
      <c r="I2946" s="4" t="s">
        <v>9434</v>
      </c>
      <c r="J2946" s="4" t="s">
        <v>9435</v>
      </c>
      <c r="K2946" s="4" t="s">
        <v>9436</v>
      </c>
      <c r="L2946" s="5">
        <v>40003</v>
      </c>
    </row>
    <row r="2947" spans="1:12" x14ac:dyDescent="0.25">
      <c r="A2947" s="3" t="s">
        <v>9197</v>
      </c>
      <c r="B2947" s="4" t="s">
        <v>9368</v>
      </c>
      <c r="C2947" s="4" t="s">
        <v>14</v>
      </c>
      <c r="D2947" s="4" t="s">
        <v>15</v>
      </c>
      <c r="E2947" s="5" t="str">
        <f>"9310436"</f>
        <v>9310436</v>
      </c>
      <c r="F2947" s="3" t="s">
        <v>9437</v>
      </c>
      <c r="G2947" s="5">
        <v>2410620727</v>
      </c>
      <c r="H2947" s="4" t="s">
        <v>9438</v>
      </c>
      <c r="I2947" s="4" t="s">
        <v>9371</v>
      </c>
      <c r="J2947" s="4" t="s">
        <v>9372</v>
      </c>
      <c r="K2947" s="4" t="s">
        <v>9396</v>
      </c>
      <c r="L2947" s="5">
        <v>41335</v>
      </c>
    </row>
    <row r="2948" spans="1:12" x14ac:dyDescent="0.25">
      <c r="A2948" s="3" t="s">
        <v>9197</v>
      </c>
      <c r="B2948" s="4" t="s">
        <v>9368</v>
      </c>
      <c r="C2948" s="4" t="s">
        <v>14</v>
      </c>
      <c r="D2948" s="4" t="s">
        <v>15</v>
      </c>
      <c r="E2948" s="5" t="str">
        <f>"9310077"</f>
        <v>9310077</v>
      </c>
      <c r="F2948" s="3" t="s">
        <v>9439</v>
      </c>
      <c r="G2948" s="5">
        <v>2494022402</v>
      </c>
      <c r="H2948" s="4" t="s">
        <v>9440</v>
      </c>
      <c r="I2948" s="4" t="s">
        <v>9434</v>
      </c>
      <c r="J2948" s="4" t="s">
        <v>9435</v>
      </c>
      <c r="K2948" s="4" t="s">
        <v>9441</v>
      </c>
      <c r="L2948" s="5">
        <v>40003</v>
      </c>
    </row>
    <row r="2949" spans="1:12" x14ac:dyDescent="0.25">
      <c r="A2949" s="3" t="s">
        <v>9197</v>
      </c>
      <c r="B2949" s="4" t="s">
        <v>9368</v>
      </c>
      <c r="C2949" s="4" t="s">
        <v>25</v>
      </c>
      <c r="D2949" s="4" t="s">
        <v>26</v>
      </c>
      <c r="E2949" s="5" t="str">
        <f>"9310477"</f>
        <v>9310477</v>
      </c>
      <c r="F2949" s="3" t="s">
        <v>9442</v>
      </c>
      <c r="G2949" s="5">
        <v>2410619190</v>
      </c>
      <c r="H2949" s="4" t="s">
        <v>9443</v>
      </c>
      <c r="I2949" s="4" t="s">
        <v>9371</v>
      </c>
      <c r="J2949" s="4" t="s">
        <v>9372</v>
      </c>
      <c r="K2949" s="4" t="s">
        <v>9444</v>
      </c>
      <c r="L2949" s="5">
        <v>41335</v>
      </c>
    </row>
    <row r="2950" spans="1:12" x14ac:dyDescent="0.25">
      <c r="A2950" s="3" t="s">
        <v>9197</v>
      </c>
      <c r="B2950" s="4" t="s">
        <v>9368</v>
      </c>
      <c r="C2950" s="4" t="s">
        <v>25</v>
      </c>
      <c r="D2950" s="4" t="s">
        <v>26</v>
      </c>
      <c r="E2950" s="5" t="str">
        <f>"9310444"</f>
        <v>9310444</v>
      </c>
      <c r="F2950" s="3" t="s">
        <v>9445</v>
      </c>
      <c r="G2950" s="5">
        <v>2410239934</v>
      </c>
      <c r="H2950" s="4" t="s">
        <v>9446</v>
      </c>
      <c r="I2950" s="4" t="s">
        <v>9371</v>
      </c>
      <c r="J2950" s="4" t="s">
        <v>9372</v>
      </c>
      <c r="K2950" s="4" t="s">
        <v>9447</v>
      </c>
      <c r="L2950" s="5">
        <v>41223</v>
      </c>
    </row>
    <row r="2951" spans="1:12" x14ac:dyDescent="0.25">
      <c r="A2951" s="3" t="s">
        <v>9197</v>
      </c>
      <c r="B2951" s="4" t="s">
        <v>9368</v>
      </c>
      <c r="C2951" s="4" t="s">
        <v>25</v>
      </c>
      <c r="D2951" s="4" t="s">
        <v>26</v>
      </c>
      <c r="E2951" s="5" t="str">
        <f>"9310372"</f>
        <v>9310372</v>
      </c>
      <c r="F2951" s="3" t="s">
        <v>9448</v>
      </c>
      <c r="G2951" s="5">
        <v>2410660165</v>
      </c>
      <c r="H2951" s="4" t="s">
        <v>9449</v>
      </c>
      <c r="I2951" s="4" t="s">
        <v>9371</v>
      </c>
      <c r="J2951" s="4" t="s">
        <v>9372</v>
      </c>
      <c r="K2951" s="4" t="s">
        <v>9450</v>
      </c>
      <c r="L2951" s="5">
        <v>41335</v>
      </c>
    </row>
    <row r="2952" spans="1:12" x14ac:dyDescent="0.25">
      <c r="A2952" s="3" t="s">
        <v>9197</v>
      </c>
      <c r="B2952" s="4" t="s">
        <v>9368</v>
      </c>
      <c r="C2952" s="4" t="s">
        <v>14</v>
      </c>
      <c r="D2952" s="4" t="s">
        <v>15</v>
      </c>
      <c r="E2952" s="5" t="str">
        <f>"9310158"</f>
        <v>9310158</v>
      </c>
      <c r="F2952" s="3" t="s">
        <v>9451</v>
      </c>
      <c r="G2952" s="5">
        <v>2410238094</v>
      </c>
      <c r="H2952" s="4" t="s">
        <v>9452</v>
      </c>
      <c r="I2952" s="4" t="s">
        <v>9371</v>
      </c>
      <c r="J2952" s="4" t="s">
        <v>9372</v>
      </c>
      <c r="K2952" s="4" t="s">
        <v>9453</v>
      </c>
      <c r="L2952" s="5">
        <v>41223</v>
      </c>
    </row>
    <row r="2953" spans="1:12" x14ac:dyDescent="0.25">
      <c r="A2953" s="3" t="s">
        <v>9197</v>
      </c>
      <c r="B2953" s="4" t="s">
        <v>9368</v>
      </c>
      <c r="C2953" s="4" t="s">
        <v>14</v>
      </c>
      <c r="D2953" s="4" t="s">
        <v>15</v>
      </c>
      <c r="E2953" s="5" t="str">
        <f>"9310193"</f>
        <v>9310193</v>
      </c>
      <c r="F2953" s="3" t="s">
        <v>9454</v>
      </c>
      <c r="G2953" s="5">
        <v>2492022624</v>
      </c>
      <c r="H2953" s="4" t="s">
        <v>9455</v>
      </c>
      <c r="I2953" s="4" t="s">
        <v>9456</v>
      </c>
      <c r="J2953" s="4" t="s">
        <v>9457</v>
      </c>
      <c r="K2953" s="4" t="s">
        <v>9458</v>
      </c>
      <c r="L2953" s="5">
        <v>40100</v>
      </c>
    </row>
    <row r="2954" spans="1:12" x14ac:dyDescent="0.25">
      <c r="A2954" s="3" t="s">
        <v>9197</v>
      </c>
      <c r="B2954" s="4" t="s">
        <v>9368</v>
      </c>
      <c r="C2954" s="4" t="s">
        <v>25</v>
      </c>
      <c r="D2954" s="4" t="s">
        <v>26</v>
      </c>
      <c r="E2954" s="5" t="str">
        <f>"9310463"</f>
        <v>9310463</v>
      </c>
      <c r="F2954" s="3" t="s">
        <v>9459</v>
      </c>
      <c r="G2954" s="5">
        <v>2410620726</v>
      </c>
      <c r="H2954" s="4" t="s">
        <v>9460</v>
      </c>
      <c r="I2954" s="4" t="s">
        <v>9371</v>
      </c>
      <c r="J2954" s="4" t="s">
        <v>9372</v>
      </c>
      <c r="K2954" s="4" t="s">
        <v>9461</v>
      </c>
      <c r="L2954" s="5">
        <v>41335</v>
      </c>
    </row>
    <row r="2955" spans="1:12" x14ac:dyDescent="0.25">
      <c r="A2955" s="3" t="s">
        <v>9197</v>
      </c>
      <c r="B2955" s="4" t="s">
        <v>9368</v>
      </c>
      <c r="C2955" s="4" t="s">
        <v>14</v>
      </c>
      <c r="D2955" s="4" t="s">
        <v>15</v>
      </c>
      <c r="E2955" s="5" t="str">
        <f>"9310190"</f>
        <v>9310190</v>
      </c>
      <c r="F2955" s="3" t="s">
        <v>9462</v>
      </c>
      <c r="G2955" s="5">
        <v>2492022225</v>
      </c>
      <c r="H2955" s="4" t="s">
        <v>9463</v>
      </c>
      <c r="I2955" s="4" t="s">
        <v>9456</v>
      </c>
      <c r="J2955" s="4" t="s">
        <v>9457</v>
      </c>
      <c r="K2955" s="4" t="s">
        <v>9464</v>
      </c>
      <c r="L2955" s="5">
        <v>40100</v>
      </c>
    </row>
    <row r="2956" spans="1:12" x14ac:dyDescent="0.25">
      <c r="A2956" s="3" t="s">
        <v>9197</v>
      </c>
      <c r="B2956" s="4" t="s">
        <v>9368</v>
      </c>
      <c r="C2956" s="4" t="s">
        <v>14</v>
      </c>
      <c r="D2956" s="4" t="s">
        <v>15</v>
      </c>
      <c r="E2956" s="5" t="str">
        <f>"9310508"</f>
        <v>9310508</v>
      </c>
      <c r="F2956" s="3" t="s">
        <v>9465</v>
      </c>
      <c r="G2956" s="5">
        <v>2410628018</v>
      </c>
      <c r="H2956" s="4" t="s">
        <v>9466</v>
      </c>
      <c r="I2956" s="4" t="s">
        <v>9371</v>
      </c>
      <c r="J2956" s="4" t="s">
        <v>9372</v>
      </c>
      <c r="K2956" s="4" t="s">
        <v>9467</v>
      </c>
      <c r="L2956" s="5">
        <v>41335</v>
      </c>
    </row>
    <row r="2957" spans="1:12" x14ac:dyDescent="0.25">
      <c r="A2957" s="3" t="s">
        <v>9197</v>
      </c>
      <c r="B2957" s="4" t="s">
        <v>9368</v>
      </c>
      <c r="C2957" s="4" t="s">
        <v>14</v>
      </c>
      <c r="D2957" s="4" t="s">
        <v>15</v>
      </c>
      <c r="E2957" s="5" t="str">
        <f>"9310159"</f>
        <v>9310159</v>
      </c>
      <c r="F2957" s="3" t="s">
        <v>9468</v>
      </c>
      <c r="G2957" s="5">
        <v>2410235161</v>
      </c>
      <c r="H2957" s="4" t="s">
        <v>9469</v>
      </c>
      <c r="I2957" s="4" t="s">
        <v>9371</v>
      </c>
      <c r="J2957" s="4" t="s">
        <v>9372</v>
      </c>
      <c r="K2957" s="4" t="s">
        <v>9470</v>
      </c>
      <c r="L2957" s="5">
        <v>41221</v>
      </c>
    </row>
    <row r="2958" spans="1:12" x14ac:dyDescent="0.25">
      <c r="A2958" s="3" t="s">
        <v>9197</v>
      </c>
      <c r="B2958" s="4" t="s">
        <v>9368</v>
      </c>
      <c r="C2958" s="4" t="s">
        <v>25</v>
      </c>
      <c r="D2958" s="4" t="s">
        <v>26</v>
      </c>
      <c r="E2958" s="5" t="str">
        <f>"9310409"</f>
        <v>9310409</v>
      </c>
      <c r="F2958" s="3" t="s">
        <v>9471</v>
      </c>
      <c r="G2958" s="5">
        <v>2410610559</v>
      </c>
      <c r="H2958" s="4" t="s">
        <v>9472</v>
      </c>
      <c r="I2958" s="4" t="s">
        <v>9371</v>
      </c>
      <c r="J2958" s="4" t="s">
        <v>9372</v>
      </c>
      <c r="K2958" s="4" t="s">
        <v>9473</v>
      </c>
      <c r="L2958" s="5">
        <v>41334</v>
      </c>
    </row>
    <row r="2959" spans="1:12" x14ac:dyDescent="0.25">
      <c r="A2959" s="3" t="s">
        <v>9197</v>
      </c>
      <c r="B2959" s="4" t="s">
        <v>9368</v>
      </c>
      <c r="C2959" s="4" t="s">
        <v>14</v>
      </c>
      <c r="D2959" s="4" t="s">
        <v>15</v>
      </c>
      <c r="E2959" s="5" t="str">
        <f>"9310312"</f>
        <v>9310312</v>
      </c>
      <c r="F2959" s="3" t="s">
        <v>9474</v>
      </c>
      <c r="G2959" s="5">
        <v>2491022037</v>
      </c>
      <c r="H2959" s="4" t="s">
        <v>9475</v>
      </c>
      <c r="I2959" s="4" t="s">
        <v>9476</v>
      </c>
      <c r="J2959" s="4" t="s">
        <v>9477</v>
      </c>
      <c r="K2959" s="4" t="s">
        <v>9478</v>
      </c>
      <c r="L2959" s="5">
        <v>40300</v>
      </c>
    </row>
    <row r="2960" spans="1:12" x14ac:dyDescent="0.25">
      <c r="A2960" s="3" t="s">
        <v>9197</v>
      </c>
      <c r="B2960" s="4" t="s">
        <v>9368</v>
      </c>
      <c r="C2960" s="4" t="s">
        <v>25</v>
      </c>
      <c r="D2960" s="4" t="s">
        <v>26</v>
      </c>
      <c r="E2960" s="5" t="str">
        <f>"9310462"</f>
        <v>9310462</v>
      </c>
      <c r="F2960" s="3" t="s">
        <v>9479</v>
      </c>
      <c r="G2960" s="5">
        <v>2410280803</v>
      </c>
      <c r="H2960" s="4" t="s">
        <v>9480</v>
      </c>
      <c r="I2960" s="4" t="s">
        <v>9371</v>
      </c>
      <c r="J2960" s="4" t="s">
        <v>9372</v>
      </c>
      <c r="K2960" s="4" t="s">
        <v>9481</v>
      </c>
      <c r="L2960" s="5">
        <v>41335</v>
      </c>
    </row>
    <row r="2961" spans="1:12" x14ac:dyDescent="0.25">
      <c r="A2961" s="3" t="s">
        <v>9197</v>
      </c>
      <c r="B2961" s="4" t="s">
        <v>9368</v>
      </c>
      <c r="C2961" s="4" t="s">
        <v>25</v>
      </c>
      <c r="D2961" s="4" t="s">
        <v>26</v>
      </c>
      <c r="E2961" s="5" t="str">
        <f>"9310512"</f>
        <v>9310512</v>
      </c>
      <c r="F2961" s="3" t="s">
        <v>9482</v>
      </c>
      <c r="G2961" s="5">
        <v>2410626704</v>
      </c>
      <c r="H2961" s="4" t="s">
        <v>9483</v>
      </c>
      <c r="I2961" s="4" t="s">
        <v>9371</v>
      </c>
      <c r="J2961" s="4" t="s">
        <v>9372</v>
      </c>
      <c r="K2961" s="4" t="s">
        <v>9467</v>
      </c>
      <c r="L2961" s="5">
        <v>41335</v>
      </c>
    </row>
    <row r="2962" spans="1:12" x14ac:dyDescent="0.25">
      <c r="A2962" s="3" t="s">
        <v>9197</v>
      </c>
      <c r="B2962" s="4" t="s">
        <v>9368</v>
      </c>
      <c r="C2962" s="4" t="s">
        <v>25</v>
      </c>
      <c r="D2962" s="4" t="s">
        <v>26</v>
      </c>
      <c r="E2962" s="5" t="str">
        <f>"9310454"</f>
        <v>9310454</v>
      </c>
      <c r="F2962" s="3" t="s">
        <v>9484</v>
      </c>
      <c r="G2962" s="5">
        <v>2410617788</v>
      </c>
      <c r="H2962" s="4" t="s">
        <v>9485</v>
      </c>
      <c r="I2962" s="4" t="s">
        <v>9371</v>
      </c>
      <c r="J2962" s="4" t="s">
        <v>9372</v>
      </c>
      <c r="K2962" s="4" t="s">
        <v>9486</v>
      </c>
      <c r="L2962" s="5">
        <v>41222</v>
      </c>
    </row>
    <row r="2963" spans="1:12" x14ac:dyDescent="0.25">
      <c r="A2963" s="3" t="s">
        <v>9197</v>
      </c>
      <c r="B2963" s="4" t="s">
        <v>9368</v>
      </c>
      <c r="C2963" s="4" t="s">
        <v>25</v>
      </c>
      <c r="D2963" s="4" t="s">
        <v>26</v>
      </c>
      <c r="E2963" s="5" t="str">
        <f>"9310439"</f>
        <v>9310439</v>
      </c>
      <c r="F2963" s="3" t="s">
        <v>9487</v>
      </c>
      <c r="G2963" s="5">
        <v>2411103228</v>
      </c>
      <c r="H2963" s="4" t="s">
        <v>9488</v>
      </c>
      <c r="I2963" s="4" t="s">
        <v>9371</v>
      </c>
      <c r="J2963" s="4" t="s">
        <v>9372</v>
      </c>
      <c r="K2963" s="4" t="s">
        <v>9489</v>
      </c>
      <c r="L2963" s="5">
        <v>41222</v>
      </c>
    </row>
    <row r="2964" spans="1:12" x14ac:dyDescent="0.25">
      <c r="A2964" s="3" t="s">
        <v>9197</v>
      </c>
      <c r="B2964" s="4" t="s">
        <v>9368</v>
      </c>
      <c r="C2964" s="4" t="s">
        <v>14</v>
      </c>
      <c r="D2964" s="4" t="s">
        <v>15</v>
      </c>
      <c r="E2964" s="5" t="str">
        <f>"9310471"</f>
        <v>9310471</v>
      </c>
      <c r="F2964" s="3" t="s">
        <v>9490</v>
      </c>
      <c r="G2964" s="5">
        <v>2410237287</v>
      </c>
      <c r="H2964" s="4" t="s">
        <v>9491</v>
      </c>
      <c r="I2964" s="4" t="s">
        <v>9371</v>
      </c>
      <c r="J2964" s="4" t="s">
        <v>9372</v>
      </c>
      <c r="K2964" s="4" t="s">
        <v>9492</v>
      </c>
      <c r="L2964" s="5">
        <v>41221</v>
      </c>
    </row>
    <row r="2965" spans="1:12" x14ac:dyDescent="0.25">
      <c r="A2965" s="3" t="s">
        <v>9197</v>
      </c>
      <c r="B2965" s="4" t="s">
        <v>9368</v>
      </c>
      <c r="C2965" s="4" t="s">
        <v>14</v>
      </c>
      <c r="D2965" s="4" t="s">
        <v>15</v>
      </c>
      <c r="E2965" s="5" t="str">
        <f>"9310397"</f>
        <v>9310397</v>
      </c>
      <c r="F2965" s="3" t="s">
        <v>9493</v>
      </c>
      <c r="G2965" s="5">
        <v>2410237877</v>
      </c>
      <c r="H2965" s="4" t="s">
        <v>9494</v>
      </c>
      <c r="I2965" s="4" t="s">
        <v>9371</v>
      </c>
      <c r="J2965" s="4" t="s">
        <v>9372</v>
      </c>
      <c r="K2965" s="4" t="s">
        <v>9495</v>
      </c>
      <c r="L2965" s="5">
        <v>41335</v>
      </c>
    </row>
    <row r="2966" spans="1:12" x14ac:dyDescent="0.25">
      <c r="A2966" s="3" t="s">
        <v>9197</v>
      </c>
      <c r="B2966" s="4" t="s">
        <v>9368</v>
      </c>
      <c r="C2966" s="4" t="s">
        <v>14</v>
      </c>
      <c r="D2966" s="4" t="s">
        <v>15</v>
      </c>
      <c r="E2966" s="5" t="str">
        <f>"9310426"</f>
        <v>9310426</v>
      </c>
      <c r="F2966" s="3" t="s">
        <v>9496</v>
      </c>
      <c r="G2966" s="5">
        <v>2410288327</v>
      </c>
      <c r="H2966" s="4" t="s">
        <v>9497</v>
      </c>
      <c r="I2966" s="4" t="s">
        <v>9371</v>
      </c>
      <c r="J2966" s="4" t="s">
        <v>9372</v>
      </c>
      <c r="K2966" s="4" t="s">
        <v>9498</v>
      </c>
      <c r="L2966" s="5">
        <v>41221</v>
      </c>
    </row>
    <row r="2967" spans="1:12" x14ac:dyDescent="0.25">
      <c r="A2967" s="3" t="s">
        <v>9197</v>
      </c>
      <c r="B2967" s="4" t="s">
        <v>9368</v>
      </c>
      <c r="C2967" s="4" t="s">
        <v>14</v>
      </c>
      <c r="D2967" s="4" t="s">
        <v>15</v>
      </c>
      <c r="E2967" s="5" t="str">
        <f>"9310437"</f>
        <v>9310437</v>
      </c>
      <c r="F2967" s="3" t="s">
        <v>9499</v>
      </c>
      <c r="G2967" s="5">
        <v>2410236704</v>
      </c>
      <c r="H2967" s="4" t="s">
        <v>9500</v>
      </c>
      <c r="I2967" s="4" t="s">
        <v>9371</v>
      </c>
      <c r="J2967" s="4" t="s">
        <v>9372</v>
      </c>
      <c r="K2967" s="4" t="s">
        <v>9501</v>
      </c>
      <c r="L2967" s="5">
        <v>41336</v>
      </c>
    </row>
    <row r="2968" spans="1:12" x14ac:dyDescent="0.25">
      <c r="A2968" s="3" t="s">
        <v>9197</v>
      </c>
      <c r="B2968" s="4" t="s">
        <v>9368</v>
      </c>
      <c r="C2968" s="4" t="s">
        <v>25</v>
      </c>
      <c r="D2968" s="4" t="s">
        <v>26</v>
      </c>
      <c r="E2968" s="5" t="str">
        <f>"9310516"</f>
        <v>9310516</v>
      </c>
      <c r="F2968" s="3" t="s">
        <v>9502</v>
      </c>
      <c r="G2968" s="5">
        <v>2410661692</v>
      </c>
      <c r="H2968" s="4" t="s">
        <v>9503</v>
      </c>
      <c r="I2968" s="4" t="s">
        <v>9371</v>
      </c>
      <c r="J2968" s="4" t="s">
        <v>9372</v>
      </c>
      <c r="K2968" s="4" t="s">
        <v>9504</v>
      </c>
      <c r="L2968" s="5">
        <v>41335</v>
      </c>
    </row>
    <row r="2969" spans="1:12" x14ac:dyDescent="0.25">
      <c r="A2969" s="3" t="s">
        <v>9197</v>
      </c>
      <c r="B2969" s="4" t="s">
        <v>9368</v>
      </c>
      <c r="C2969" s="4" t="s">
        <v>14</v>
      </c>
      <c r="D2969" s="4" t="s">
        <v>15</v>
      </c>
      <c r="E2969" s="5" t="str">
        <f>"9310201"</f>
        <v>9310201</v>
      </c>
      <c r="F2969" s="3" t="s">
        <v>9505</v>
      </c>
      <c r="G2969" s="5">
        <v>2410591250</v>
      </c>
      <c r="H2969" s="4" t="s">
        <v>9506</v>
      </c>
      <c r="I2969" s="4" t="s">
        <v>9371</v>
      </c>
      <c r="J2969" s="4" t="s">
        <v>9507</v>
      </c>
      <c r="K2969" s="4" t="s">
        <v>9508</v>
      </c>
      <c r="L2969" s="5">
        <v>41500</v>
      </c>
    </row>
    <row r="2970" spans="1:12" x14ac:dyDescent="0.25">
      <c r="A2970" s="3" t="s">
        <v>9197</v>
      </c>
      <c r="B2970" s="4" t="s">
        <v>9368</v>
      </c>
      <c r="C2970" s="4" t="s">
        <v>25</v>
      </c>
      <c r="D2970" s="4" t="s">
        <v>26</v>
      </c>
      <c r="E2970" s="5" t="str">
        <f>"9310438"</f>
        <v>9310438</v>
      </c>
      <c r="F2970" s="3" t="s">
        <v>9509</v>
      </c>
      <c r="G2970" s="5">
        <v>2410620972</v>
      </c>
      <c r="H2970" s="4" t="s">
        <v>9510</v>
      </c>
      <c r="I2970" s="4" t="s">
        <v>9371</v>
      </c>
      <c r="J2970" s="4" t="s">
        <v>9372</v>
      </c>
      <c r="K2970" s="4" t="s">
        <v>9511</v>
      </c>
      <c r="L2970" s="5">
        <v>41222</v>
      </c>
    </row>
    <row r="2971" spans="1:12" x14ac:dyDescent="0.25">
      <c r="A2971" s="3" t="s">
        <v>9197</v>
      </c>
      <c r="B2971" s="4" t="s">
        <v>9368</v>
      </c>
      <c r="C2971" s="4" t="s">
        <v>14</v>
      </c>
      <c r="D2971" s="4" t="s">
        <v>15</v>
      </c>
      <c r="E2971" s="5" t="str">
        <f>"9310149"</f>
        <v>9310149</v>
      </c>
      <c r="F2971" s="3" t="s">
        <v>9512</v>
      </c>
      <c r="G2971" s="5">
        <v>2492066212</v>
      </c>
      <c r="H2971" s="4" t="s">
        <v>9513</v>
      </c>
      <c r="I2971" s="4" t="s">
        <v>9456</v>
      </c>
      <c r="J2971" s="4" t="s">
        <v>9514</v>
      </c>
      <c r="K2971" s="4" t="s">
        <v>9515</v>
      </c>
      <c r="L2971" s="5">
        <v>40100</v>
      </c>
    </row>
    <row r="2972" spans="1:12" x14ac:dyDescent="0.25">
      <c r="A2972" s="3" t="s">
        <v>9197</v>
      </c>
      <c r="B2972" s="4" t="s">
        <v>9368</v>
      </c>
      <c r="C2972" s="4" t="s">
        <v>25</v>
      </c>
      <c r="D2972" s="4" t="s">
        <v>26</v>
      </c>
      <c r="E2972" s="5" t="str">
        <f>"9310156"</f>
        <v>9310156</v>
      </c>
      <c r="F2972" s="3" t="s">
        <v>9516</v>
      </c>
      <c r="G2972" s="5">
        <v>2410231503</v>
      </c>
      <c r="H2972" s="4" t="s">
        <v>9517</v>
      </c>
      <c r="I2972" s="4" t="s">
        <v>9371</v>
      </c>
      <c r="J2972" s="4" t="s">
        <v>9372</v>
      </c>
      <c r="K2972" s="4" t="s">
        <v>9518</v>
      </c>
      <c r="L2972" s="5">
        <v>41221</v>
      </c>
    </row>
    <row r="2973" spans="1:12" x14ac:dyDescent="0.25">
      <c r="A2973" s="3" t="s">
        <v>9197</v>
      </c>
      <c r="B2973" s="4" t="s">
        <v>9368</v>
      </c>
      <c r="C2973" s="4" t="s">
        <v>14</v>
      </c>
      <c r="D2973" s="4" t="s">
        <v>15</v>
      </c>
      <c r="E2973" s="5" t="str">
        <f>"9310145"</f>
        <v>9310145</v>
      </c>
      <c r="F2973" s="3" t="s">
        <v>9519</v>
      </c>
      <c r="G2973" s="5">
        <v>2492081207</v>
      </c>
      <c r="H2973" s="4" t="s">
        <v>9520</v>
      </c>
      <c r="I2973" s="4" t="s">
        <v>9521</v>
      </c>
      <c r="J2973" s="4" t="s">
        <v>9522</v>
      </c>
      <c r="K2973" s="4" t="s">
        <v>9523</v>
      </c>
      <c r="L2973" s="5">
        <v>40005</v>
      </c>
    </row>
    <row r="2974" spans="1:12" x14ac:dyDescent="0.25">
      <c r="A2974" s="3" t="s">
        <v>9197</v>
      </c>
      <c r="B2974" s="4" t="s">
        <v>9368</v>
      </c>
      <c r="C2974" s="4" t="s">
        <v>25</v>
      </c>
      <c r="D2974" s="4" t="s">
        <v>26</v>
      </c>
      <c r="E2974" s="5" t="str">
        <f>"9310310"</f>
        <v>9310310</v>
      </c>
      <c r="F2974" s="3" t="s">
        <v>9524</v>
      </c>
      <c r="G2974" s="5">
        <v>2491022319</v>
      </c>
      <c r="H2974" s="4" t="s">
        <v>9525</v>
      </c>
      <c r="I2974" s="4" t="s">
        <v>9476</v>
      </c>
      <c r="J2974" s="4" t="s">
        <v>9526</v>
      </c>
      <c r="K2974" s="4" t="s">
        <v>9527</v>
      </c>
      <c r="L2974" s="5">
        <v>40300</v>
      </c>
    </row>
    <row r="2975" spans="1:12" x14ac:dyDescent="0.25">
      <c r="A2975" s="3" t="s">
        <v>9197</v>
      </c>
      <c r="B2975" s="4" t="s">
        <v>9368</v>
      </c>
      <c r="C2975" s="4" t="s">
        <v>14</v>
      </c>
      <c r="D2975" s="4" t="s">
        <v>15</v>
      </c>
      <c r="E2975" s="5" t="str">
        <f>"9310466"</f>
        <v>9310466</v>
      </c>
      <c r="F2975" s="3" t="s">
        <v>9528</v>
      </c>
      <c r="G2975" s="5">
        <v>2410627161</v>
      </c>
      <c r="H2975" s="4" t="s">
        <v>9529</v>
      </c>
      <c r="I2975" s="4" t="s">
        <v>9371</v>
      </c>
      <c r="J2975" s="4" t="s">
        <v>9372</v>
      </c>
      <c r="K2975" s="4" t="s">
        <v>9530</v>
      </c>
      <c r="L2975" s="5">
        <v>41222</v>
      </c>
    </row>
    <row r="2976" spans="1:12" x14ac:dyDescent="0.25">
      <c r="A2976" s="3" t="s">
        <v>9197</v>
      </c>
      <c r="B2976" s="4" t="s">
        <v>9368</v>
      </c>
      <c r="C2976" s="4" t="s">
        <v>25</v>
      </c>
      <c r="D2976" s="4" t="s">
        <v>26</v>
      </c>
      <c r="E2976" s="5" t="str">
        <f>"9310021"</f>
        <v>9310021</v>
      </c>
      <c r="F2976" s="3" t="s">
        <v>9531</v>
      </c>
      <c r="G2976" s="5">
        <v>2493306032</v>
      </c>
      <c r="H2976" s="4" t="s">
        <v>9532</v>
      </c>
      <c r="I2976" s="4" t="s">
        <v>9521</v>
      </c>
      <c r="J2976" s="4" t="s">
        <v>9521</v>
      </c>
      <c r="K2976" s="4" t="s">
        <v>9533</v>
      </c>
      <c r="L2976" s="5">
        <v>40200</v>
      </c>
    </row>
    <row r="2977" spans="1:12" x14ac:dyDescent="0.25">
      <c r="A2977" s="3" t="s">
        <v>9197</v>
      </c>
      <c r="B2977" s="4" t="s">
        <v>9368</v>
      </c>
      <c r="C2977" s="4" t="s">
        <v>14</v>
      </c>
      <c r="D2977" s="4" t="s">
        <v>15</v>
      </c>
      <c r="E2977" s="5" t="str">
        <f>"9310109"</f>
        <v>9310109</v>
      </c>
      <c r="F2977" s="3" t="s">
        <v>9534</v>
      </c>
      <c r="G2977" s="5">
        <v>2410614978</v>
      </c>
      <c r="H2977" s="4" t="s">
        <v>9535</v>
      </c>
      <c r="I2977" s="4" t="s">
        <v>9371</v>
      </c>
      <c r="J2977" s="4" t="s">
        <v>9372</v>
      </c>
      <c r="K2977" s="4" t="s">
        <v>9536</v>
      </c>
      <c r="L2977" s="5">
        <v>41334</v>
      </c>
    </row>
    <row r="2978" spans="1:12" x14ac:dyDescent="0.25">
      <c r="A2978" s="3" t="s">
        <v>9197</v>
      </c>
      <c r="B2978" s="4" t="s">
        <v>9368</v>
      </c>
      <c r="C2978" s="4" t="s">
        <v>14</v>
      </c>
      <c r="D2978" s="4" t="s">
        <v>15</v>
      </c>
      <c r="E2978" s="5" t="str">
        <f>"9310100"</f>
        <v>9310100</v>
      </c>
      <c r="F2978" s="3" t="s">
        <v>9537</v>
      </c>
      <c r="G2978" s="5">
        <v>2410627040</v>
      </c>
      <c r="H2978" s="4" t="s">
        <v>9538</v>
      </c>
      <c r="I2978" s="4" t="s">
        <v>9371</v>
      </c>
      <c r="J2978" s="4" t="s">
        <v>9372</v>
      </c>
      <c r="K2978" s="4" t="s">
        <v>9539</v>
      </c>
      <c r="L2978" s="5">
        <v>41222</v>
      </c>
    </row>
    <row r="2979" spans="1:12" x14ac:dyDescent="0.25">
      <c r="A2979" s="3" t="s">
        <v>9197</v>
      </c>
      <c r="B2979" s="4" t="s">
        <v>9368</v>
      </c>
      <c r="C2979" s="4" t="s">
        <v>14</v>
      </c>
      <c r="D2979" s="4" t="s">
        <v>15</v>
      </c>
      <c r="E2979" s="5" t="str">
        <f>"9310452"</f>
        <v>9310452</v>
      </c>
      <c r="F2979" s="3" t="s">
        <v>9540</v>
      </c>
      <c r="G2979" s="5">
        <v>2491025120</v>
      </c>
      <c r="H2979" s="4" t="s">
        <v>9541</v>
      </c>
      <c r="I2979" s="4" t="s">
        <v>9476</v>
      </c>
      <c r="J2979" s="4" t="s">
        <v>9526</v>
      </c>
      <c r="K2979" s="4" t="s">
        <v>9542</v>
      </c>
      <c r="L2979" s="5">
        <v>40300</v>
      </c>
    </row>
    <row r="2980" spans="1:12" x14ac:dyDescent="0.25">
      <c r="A2980" s="3" t="s">
        <v>9197</v>
      </c>
      <c r="B2980" s="4" t="s">
        <v>9368</v>
      </c>
      <c r="C2980" s="4" t="s">
        <v>14</v>
      </c>
      <c r="D2980" s="4" t="s">
        <v>15</v>
      </c>
      <c r="E2980" s="5" t="str">
        <f>"9310162"</f>
        <v>9310162</v>
      </c>
      <c r="F2980" s="3" t="s">
        <v>9543</v>
      </c>
      <c r="G2980" s="5">
        <v>2410238178</v>
      </c>
      <c r="H2980" s="4" t="s">
        <v>9544</v>
      </c>
      <c r="I2980" s="4" t="s">
        <v>9371</v>
      </c>
      <c r="J2980" s="4" t="s">
        <v>9372</v>
      </c>
      <c r="K2980" s="4" t="s">
        <v>9428</v>
      </c>
      <c r="L2980" s="5">
        <v>41223</v>
      </c>
    </row>
    <row r="2981" spans="1:12" x14ac:dyDescent="0.25">
      <c r="A2981" s="3" t="s">
        <v>9197</v>
      </c>
      <c r="B2981" s="4" t="s">
        <v>9368</v>
      </c>
      <c r="C2981" s="4" t="s">
        <v>14</v>
      </c>
      <c r="D2981" s="4" t="s">
        <v>15</v>
      </c>
      <c r="E2981" s="5" t="str">
        <f>"9310401"</f>
        <v>9310401</v>
      </c>
      <c r="F2981" s="3" t="s">
        <v>9545</v>
      </c>
      <c r="G2981" s="5">
        <v>2410530287</v>
      </c>
      <c r="H2981" s="4" t="s">
        <v>9546</v>
      </c>
      <c r="I2981" s="4" t="s">
        <v>9371</v>
      </c>
      <c r="J2981" s="4" t="s">
        <v>9372</v>
      </c>
      <c r="K2981" s="4" t="s">
        <v>9547</v>
      </c>
      <c r="L2981" s="5">
        <v>41447</v>
      </c>
    </row>
    <row r="2982" spans="1:12" x14ac:dyDescent="0.25">
      <c r="A2982" s="3" t="s">
        <v>9197</v>
      </c>
      <c r="B2982" s="4" t="s">
        <v>9368</v>
      </c>
      <c r="C2982" s="4" t="s">
        <v>14</v>
      </c>
      <c r="D2982" s="4" t="s">
        <v>15</v>
      </c>
      <c r="E2982" s="5" t="str">
        <f>"9310112"</f>
        <v>9310112</v>
      </c>
      <c r="F2982" s="3" t="s">
        <v>9548</v>
      </c>
      <c r="G2982" s="5">
        <v>2410619127</v>
      </c>
      <c r="H2982" s="4" t="s">
        <v>9549</v>
      </c>
      <c r="I2982" s="4" t="s">
        <v>9371</v>
      </c>
      <c r="J2982" s="4" t="s">
        <v>9372</v>
      </c>
      <c r="K2982" s="4" t="s">
        <v>9444</v>
      </c>
      <c r="L2982" s="5">
        <v>41335</v>
      </c>
    </row>
    <row r="2983" spans="1:12" x14ac:dyDescent="0.25">
      <c r="A2983" s="3" t="s">
        <v>9197</v>
      </c>
      <c r="B2983" s="4" t="s">
        <v>9368</v>
      </c>
      <c r="C2983" s="4" t="s">
        <v>14</v>
      </c>
      <c r="D2983" s="4" t="s">
        <v>15</v>
      </c>
      <c r="E2983" s="5" t="str">
        <f>"9310189"</f>
        <v>9310189</v>
      </c>
      <c r="F2983" s="3" t="s">
        <v>9550</v>
      </c>
      <c r="G2983" s="5">
        <v>2492305049</v>
      </c>
      <c r="H2983" s="4" t="s">
        <v>9551</v>
      </c>
      <c r="I2983" s="4" t="s">
        <v>9456</v>
      </c>
      <c r="J2983" s="4" t="s">
        <v>9457</v>
      </c>
      <c r="K2983" s="4" t="s">
        <v>9552</v>
      </c>
      <c r="L2983" s="5">
        <v>40100</v>
      </c>
    </row>
    <row r="2984" spans="1:12" x14ac:dyDescent="0.25">
      <c r="A2984" s="3" t="s">
        <v>9197</v>
      </c>
      <c r="B2984" s="4" t="s">
        <v>9368</v>
      </c>
      <c r="C2984" s="4" t="s">
        <v>14</v>
      </c>
      <c r="D2984" s="4" t="s">
        <v>15</v>
      </c>
      <c r="E2984" s="5" t="str">
        <f>"9310216"</f>
        <v>9310216</v>
      </c>
      <c r="F2984" s="3" t="s">
        <v>9553</v>
      </c>
      <c r="G2984" s="5">
        <v>2410254707</v>
      </c>
      <c r="H2984" s="4" t="s">
        <v>9554</v>
      </c>
      <c r="I2984" s="4" t="s">
        <v>9371</v>
      </c>
      <c r="J2984" s="4" t="s">
        <v>9372</v>
      </c>
      <c r="K2984" s="4" t="s">
        <v>9555</v>
      </c>
      <c r="L2984" s="5">
        <v>41447</v>
      </c>
    </row>
    <row r="2985" spans="1:12" x14ac:dyDescent="0.25">
      <c r="A2985" s="3" t="s">
        <v>9197</v>
      </c>
      <c r="B2985" s="4" t="s">
        <v>9368</v>
      </c>
      <c r="C2985" s="4" t="s">
        <v>14</v>
      </c>
      <c r="D2985" s="4" t="s">
        <v>15</v>
      </c>
      <c r="E2985" s="5" t="str">
        <f>"9310163"</f>
        <v>9310163</v>
      </c>
      <c r="F2985" s="3" t="s">
        <v>9556</v>
      </c>
      <c r="G2985" s="5">
        <v>2410236589</v>
      </c>
      <c r="H2985" s="4" t="s">
        <v>9557</v>
      </c>
      <c r="I2985" s="4" t="s">
        <v>9371</v>
      </c>
      <c r="J2985" s="4" t="s">
        <v>9372</v>
      </c>
      <c r="K2985" s="4" t="s">
        <v>9558</v>
      </c>
      <c r="L2985" s="5">
        <v>41221</v>
      </c>
    </row>
    <row r="2986" spans="1:12" x14ac:dyDescent="0.25">
      <c r="A2986" s="3" t="s">
        <v>9197</v>
      </c>
      <c r="B2986" s="4" t="s">
        <v>9368</v>
      </c>
      <c r="C2986" s="4" t="s">
        <v>14</v>
      </c>
      <c r="D2986" s="4" t="s">
        <v>15</v>
      </c>
      <c r="E2986" s="5" t="str">
        <f>"9310313"</f>
        <v>9310313</v>
      </c>
      <c r="F2986" s="3" t="s">
        <v>9559</v>
      </c>
      <c r="G2986" s="5">
        <v>2491022059</v>
      </c>
      <c r="H2986" s="4" t="s">
        <v>9560</v>
      </c>
      <c r="I2986" s="4" t="s">
        <v>9476</v>
      </c>
      <c r="J2986" s="4" t="s">
        <v>9526</v>
      </c>
      <c r="K2986" s="4" t="s">
        <v>9561</v>
      </c>
      <c r="L2986" s="5">
        <v>40300</v>
      </c>
    </row>
    <row r="2987" spans="1:12" x14ac:dyDescent="0.25">
      <c r="A2987" s="3" t="s">
        <v>9197</v>
      </c>
      <c r="B2987" s="4" t="s">
        <v>9368</v>
      </c>
      <c r="C2987" s="4" t="s">
        <v>14</v>
      </c>
      <c r="D2987" s="4" t="s">
        <v>15</v>
      </c>
      <c r="E2987" s="5" t="str">
        <f>"9310209"</f>
        <v>9310209</v>
      </c>
      <c r="F2987" s="3" t="s">
        <v>9562</v>
      </c>
      <c r="G2987" s="5">
        <v>2495091225</v>
      </c>
      <c r="H2987" s="4" t="s">
        <v>9563</v>
      </c>
      <c r="I2987" s="4" t="s">
        <v>9434</v>
      </c>
      <c r="J2987" s="4" t="s">
        <v>9564</v>
      </c>
      <c r="K2987" s="4" t="s">
        <v>9564</v>
      </c>
      <c r="L2987" s="5">
        <v>40007</v>
      </c>
    </row>
    <row r="2988" spans="1:12" x14ac:dyDescent="0.25">
      <c r="A2988" s="3" t="s">
        <v>9197</v>
      </c>
      <c r="B2988" s="4" t="s">
        <v>9368</v>
      </c>
      <c r="C2988" s="4" t="s">
        <v>14</v>
      </c>
      <c r="D2988" s="4" t="s">
        <v>15</v>
      </c>
      <c r="E2988" s="5" t="str">
        <f>"9310237"</f>
        <v>9310237</v>
      </c>
      <c r="F2988" s="3" t="s">
        <v>9565</v>
      </c>
      <c r="G2988" s="5">
        <v>2492031201</v>
      </c>
      <c r="H2988" s="4" t="s">
        <v>9566</v>
      </c>
      <c r="I2988" s="4" t="s">
        <v>9456</v>
      </c>
      <c r="J2988" s="4" t="s">
        <v>9567</v>
      </c>
      <c r="K2988" s="4" t="s">
        <v>9568</v>
      </c>
      <c r="L2988" s="5">
        <v>40400</v>
      </c>
    </row>
    <row r="2989" spans="1:12" x14ac:dyDescent="0.25">
      <c r="A2989" s="3" t="s">
        <v>9197</v>
      </c>
      <c r="B2989" s="4" t="s">
        <v>9368</v>
      </c>
      <c r="C2989" s="4" t="s">
        <v>25</v>
      </c>
      <c r="D2989" s="4" t="s">
        <v>26</v>
      </c>
      <c r="E2989" s="5" t="str">
        <f>"9310370"</f>
        <v>9310370</v>
      </c>
      <c r="F2989" s="3" t="s">
        <v>9569</v>
      </c>
      <c r="G2989" s="5">
        <v>2494024183</v>
      </c>
      <c r="H2989" s="4" t="s">
        <v>9570</v>
      </c>
      <c r="I2989" s="4" t="s">
        <v>9434</v>
      </c>
      <c r="J2989" s="4" t="s">
        <v>9435</v>
      </c>
      <c r="K2989" s="4" t="s">
        <v>9435</v>
      </c>
      <c r="L2989" s="5">
        <v>40003</v>
      </c>
    </row>
    <row r="2990" spans="1:12" x14ac:dyDescent="0.25">
      <c r="A2990" s="3" t="s">
        <v>9197</v>
      </c>
      <c r="B2990" s="4" t="s">
        <v>9368</v>
      </c>
      <c r="C2990" s="4" t="s">
        <v>25</v>
      </c>
      <c r="D2990" s="4" t="s">
        <v>26</v>
      </c>
      <c r="E2990" s="5" t="str">
        <f>"9310075"</f>
        <v>9310075</v>
      </c>
      <c r="F2990" s="3" t="s">
        <v>9571</v>
      </c>
      <c r="G2990" s="5">
        <v>2494024268</v>
      </c>
      <c r="H2990" s="4" t="s">
        <v>9572</v>
      </c>
      <c r="I2990" s="4" t="s">
        <v>9434</v>
      </c>
      <c r="J2990" s="4" t="s">
        <v>9435</v>
      </c>
      <c r="K2990" s="4" t="s">
        <v>9573</v>
      </c>
      <c r="L2990" s="5">
        <v>40003</v>
      </c>
    </row>
    <row r="2991" spans="1:12" x14ac:dyDescent="0.25">
      <c r="A2991" s="3" t="s">
        <v>9197</v>
      </c>
      <c r="B2991" s="4" t="s">
        <v>9368</v>
      </c>
      <c r="C2991" s="4" t="s">
        <v>14</v>
      </c>
      <c r="D2991" s="4" t="s">
        <v>15</v>
      </c>
      <c r="E2991" s="5" t="str">
        <f>"9310106"</f>
        <v>9310106</v>
      </c>
      <c r="F2991" s="3" t="s">
        <v>9574</v>
      </c>
      <c r="G2991" s="5">
        <v>2410613061</v>
      </c>
      <c r="H2991" s="4" t="s">
        <v>9575</v>
      </c>
      <c r="I2991" s="4" t="s">
        <v>9371</v>
      </c>
      <c r="J2991" s="4" t="s">
        <v>9372</v>
      </c>
      <c r="K2991" s="4" t="s">
        <v>9576</v>
      </c>
      <c r="L2991" s="5">
        <v>41334</v>
      </c>
    </row>
    <row r="2992" spans="1:12" x14ac:dyDescent="0.25">
      <c r="A2992" s="3" t="s">
        <v>9197</v>
      </c>
      <c r="B2992" s="4" t="s">
        <v>9368</v>
      </c>
      <c r="C2992" s="4" t="s">
        <v>14</v>
      </c>
      <c r="D2992" s="4" t="s">
        <v>15</v>
      </c>
      <c r="E2992" s="5" t="str">
        <f>"9310198"</f>
        <v>9310198</v>
      </c>
      <c r="F2992" s="3" t="s">
        <v>9577</v>
      </c>
      <c r="G2992" s="5">
        <v>2492041288</v>
      </c>
      <c r="H2992" s="4" t="s">
        <v>9578</v>
      </c>
      <c r="I2992" s="4" t="s">
        <v>9456</v>
      </c>
      <c r="J2992" s="4" t="s">
        <v>9579</v>
      </c>
      <c r="K2992" s="4" t="s">
        <v>9579</v>
      </c>
      <c r="L2992" s="5">
        <v>40100</v>
      </c>
    </row>
    <row r="2993" spans="1:12" x14ac:dyDescent="0.25">
      <c r="A2993" s="3" t="s">
        <v>9197</v>
      </c>
      <c r="B2993" s="4" t="s">
        <v>9368</v>
      </c>
      <c r="C2993" s="4" t="s">
        <v>25</v>
      </c>
      <c r="D2993" s="4" t="s">
        <v>26</v>
      </c>
      <c r="E2993" s="5" t="str">
        <f>"9310489"</f>
        <v>9310489</v>
      </c>
      <c r="F2993" s="3" t="s">
        <v>9580</v>
      </c>
      <c r="G2993" s="5">
        <v>2491022524</v>
      </c>
      <c r="H2993" s="4" t="s">
        <v>9581</v>
      </c>
      <c r="I2993" s="4" t="s">
        <v>9476</v>
      </c>
      <c r="J2993" s="4" t="s">
        <v>9526</v>
      </c>
      <c r="K2993" s="4" t="s">
        <v>9582</v>
      </c>
      <c r="L2993" s="5">
        <v>40300</v>
      </c>
    </row>
    <row r="2994" spans="1:12" x14ac:dyDescent="0.25">
      <c r="A2994" s="3" t="s">
        <v>9197</v>
      </c>
      <c r="B2994" s="4" t="s">
        <v>9368</v>
      </c>
      <c r="C2994" s="4" t="s">
        <v>25</v>
      </c>
      <c r="D2994" s="4" t="s">
        <v>26</v>
      </c>
      <c r="E2994" s="5" t="str">
        <f>"9310404"</f>
        <v>9310404</v>
      </c>
      <c r="F2994" s="3" t="s">
        <v>9583</v>
      </c>
      <c r="G2994" s="5">
        <v>2410626500</v>
      </c>
      <c r="H2994" s="4" t="s">
        <v>9584</v>
      </c>
      <c r="I2994" s="4" t="s">
        <v>9371</v>
      </c>
      <c r="J2994" s="4" t="s">
        <v>9372</v>
      </c>
      <c r="K2994" s="4" t="s">
        <v>9585</v>
      </c>
      <c r="L2994" s="5">
        <v>41335</v>
      </c>
    </row>
    <row r="2995" spans="1:12" x14ac:dyDescent="0.25">
      <c r="A2995" s="3" t="s">
        <v>9197</v>
      </c>
      <c r="B2995" s="4" t="s">
        <v>9368</v>
      </c>
      <c r="C2995" s="4" t="s">
        <v>25</v>
      </c>
      <c r="D2995" s="4" t="s">
        <v>26</v>
      </c>
      <c r="E2995" s="5" t="str">
        <f>"9310380"</f>
        <v>9310380</v>
      </c>
      <c r="F2995" s="3" t="s">
        <v>9586</v>
      </c>
      <c r="G2995" s="5">
        <v>2410571654</v>
      </c>
      <c r="H2995" s="4" t="s">
        <v>9587</v>
      </c>
      <c r="I2995" s="4" t="s">
        <v>9371</v>
      </c>
      <c r="J2995" s="4" t="s">
        <v>9588</v>
      </c>
      <c r="K2995" s="4" t="s">
        <v>9589</v>
      </c>
      <c r="L2995" s="5">
        <v>41336</v>
      </c>
    </row>
    <row r="2996" spans="1:12" x14ac:dyDescent="0.25">
      <c r="A2996" s="3" t="s">
        <v>9197</v>
      </c>
      <c r="B2996" s="4" t="s">
        <v>9368</v>
      </c>
      <c r="C2996" s="4" t="s">
        <v>14</v>
      </c>
      <c r="D2996" s="4" t="s">
        <v>15</v>
      </c>
      <c r="E2996" s="5" t="str">
        <f>"9310233"</f>
        <v>9310233</v>
      </c>
      <c r="F2996" s="3" t="s">
        <v>9590</v>
      </c>
      <c r="G2996" s="5">
        <v>2495051301</v>
      </c>
      <c r="H2996" s="4" t="s">
        <v>9591</v>
      </c>
      <c r="I2996" s="4" t="s">
        <v>9409</v>
      </c>
      <c r="J2996" s="4" t="s">
        <v>9592</v>
      </c>
      <c r="K2996" s="4" t="s">
        <v>9593</v>
      </c>
      <c r="L2996" s="5">
        <v>40006</v>
      </c>
    </row>
    <row r="2997" spans="1:12" x14ac:dyDescent="0.25">
      <c r="A2997" s="3" t="s">
        <v>9197</v>
      </c>
      <c r="B2997" s="4" t="s">
        <v>9368</v>
      </c>
      <c r="C2997" s="4" t="s">
        <v>14</v>
      </c>
      <c r="D2997" s="4" t="s">
        <v>15</v>
      </c>
      <c r="E2997" s="5" t="str">
        <f>"9310023"</f>
        <v>9310023</v>
      </c>
      <c r="F2997" s="3" t="s">
        <v>9594</v>
      </c>
      <c r="G2997" s="5">
        <v>2493083187</v>
      </c>
      <c r="H2997" s="4" t="s">
        <v>9595</v>
      </c>
      <c r="I2997" s="4" t="s">
        <v>9521</v>
      </c>
      <c r="J2997" s="4" t="s">
        <v>9596</v>
      </c>
      <c r="K2997" s="4" t="s">
        <v>9597</v>
      </c>
      <c r="L2997" s="5">
        <v>40200</v>
      </c>
    </row>
    <row r="2998" spans="1:12" x14ac:dyDescent="0.25">
      <c r="A2998" s="3" t="s">
        <v>9197</v>
      </c>
      <c r="B2998" s="4" t="s">
        <v>9368</v>
      </c>
      <c r="C2998" s="4" t="s">
        <v>14</v>
      </c>
      <c r="D2998" s="4" t="s">
        <v>15</v>
      </c>
      <c r="E2998" s="5" t="str">
        <f>"9310103"</f>
        <v>9310103</v>
      </c>
      <c r="F2998" s="3" t="s">
        <v>9598</v>
      </c>
      <c r="G2998" s="5">
        <v>2410288316</v>
      </c>
      <c r="H2998" s="4" t="s">
        <v>9599</v>
      </c>
      <c r="I2998" s="4" t="s">
        <v>9371</v>
      </c>
      <c r="J2998" s="4" t="s">
        <v>9372</v>
      </c>
      <c r="K2998" s="4" t="s">
        <v>9600</v>
      </c>
      <c r="L2998" s="5">
        <v>41221</v>
      </c>
    </row>
    <row r="2999" spans="1:12" x14ac:dyDescent="0.25">
      <c r="A2999" s="3" t="s">
        <v>9197</v>
      </c>
      <c r="B2999" s="4" t="s">
        <v>9368</v>
      </c>
      <c r="C2999" s="4" t="s">
        <v>14</v>
      </c>
      <c r="D2999" s="4" t="s">
        <v>15</v>
      </c>
      <c r="E2999" s="5" t="str">
        <f>"9310141"</f>
        <v>9310141</v>
      </c>
      <c r="F2999" s="3" t="s">
        <v>9601</v>
      </c>
      <c r="G2999" s="5">
        <v>2410971237</v>
      </c>
      <c r="H2999" s="4" t="s">
        <v>9602</v>
      </c>
      <c r="I2999" s="4" t="s">
        <v>9376</v>
      </c>
      <c r="J2999" s="4" t="s">
        <v>9603</v>
      </c>
      <c r="K2999" s="4" t="s">
        <v>9604</v>
      </c>
      <c r="L2999" s="5">
        <v>40009</v>
      </c>
    </row>
    <row r="3000" spans="1:12" x14ac:dyDescent="0.25">
      <c r="A3000" s="3" t="s">
        <v>9197</v>
      </c>
      <c r="B3000" s="4" t="s">
        <v>9368</v>
      </c>
      <c r="C3000" s="4" t="s">
        <v>14</v>
      </c>
      <c r="D3000" s="4" t="s">
        <v>15</v>
      </c>
      <c r="E3000" s="5" t="str">
        <f>"9310318"</f>
        <v>9310318</v>
      </c>
      <c r="F3000" s="3" t="s">
        <v>9605</v>
      </c>
      <c r="G3000" s="5">
        <v>2410281933</v>
      </c>
      <c r="H3000" s="4" t="s">
        <v>9606</v>
      </c>
      <c r="I3000" s="4" t="s">
        <v>9371</v>
      </c>
      <c r="J3000" s="4" t="s">
        <v>9372</v>
      </c>
      <c r="K3000" s="4" t="s">
        <v>9419</v>
      </c>
      <c r="L3000" s="5">
        <v>41221</v>
      </c>
    </row>
    <row r="3001" spans="1:12" x14ac:dyDescent="0.25">
      <c r="A3001" s="3" t="s">
        <v>9197</v>
      </c>
      <c r="B3001" s="4" t="s">
        <v>9368</v>
      </c>
      <c r="C3001" s="4" t="s">
        <v>25</v>
      </c>
      <c r="D3001" s="4" t="s">
        <v>26</v>
      </c>
      <c r="E3001" s="5" t="str">
        <f>"9310212"</f>
        <v>9310212</v>
      </c>
      <c r="F3001" s="3" t="s">
        <v>9607</v>
      </c>
      <c r="G3001" s="5">
        <v>2410232209</v>
      </c>
      <c r="H3001" s="4" t="s">
        <v>9608</v>
      </c>
      <c r="I3001" s="4" t="s">
        <v>9371</v>
      </c>
      <c r="J3001" s="4" t="s">
        <v>9372</v>
      </c>
      <c r="K3001" s="4" t="s">
        <v>9422</v>
      </c>
      <c r="L3001" s="5">
        <v>41336</v>
      </c>
    </row>
    <row r="3002" spans="1:12" x14ac:dyDescent="0.25">
      <c r="A3002" s="3" t="s">
        <v>9197</v>
      </c>
      <c r="B3002" s="4" t="s">
        <v>9368</v>
      </c>
      <c r="C3002" s="4" t="s">
        <v>25</v>
      </c>
      <c r="D3002" s="4" t="s">
        <v>26</v>
      </c>
      <c r="E3002" s="5" t="str">
        <f>"9310346"</f>
        <v>9310346</v>
      </c>
      <c r="F3002" s="3" t="s">
        <v>9609</v>
      </c>
      <c r="G3002" s="5">
        <v>2410233777</v>
      </c>
      <c r="H3002" s="4" t="s">
        <v>9610</v>
      </c>
      <c r="I3002" s="4" t="s">
        <v>9371</v>
      </c>
      <c r="J3002" s="4" t="s">
        <v>9372</v>
      </c>
      <c r="K3002" s="4" t="s">
        <v>9419</v>
      </c>
      <c r="L3002" s="5">
        <v>41221</v>
      </c>
    </row>
    <row r="3003" spans="1:12" x14ac:dyDescent="0.25">
      <c r="A3003" s="3" t="s">
        <v>9197</v>
      </c>
      <c r="B3003" s="4" t="s">
        <v>9368</v>
      </c>
      <c r="C3003" s="4" t="s">
        <v>25</v>
      </c>
      <c r="D3003" s="4" t="s">
        <v>26</v>
      </c>
      <c r="E3003" s="5" t="str">
        <f>"9310416"</f>
        <v>9310416</v>
      </c>
      <c r="F3003" s="3" t="s">
        <v>9611</v>
      </c>
      <c r="G3003" s="5">
        <v>2410555303</v>
      </c>
      <c r="H3003" s="4" t="s">
        <v>9612</v>
      </c>
      <c r="I3003" s="4" t="s">
        <v>9371</v>
      </c>
      <c r="J3003" s="4" t="s">
        <v>9372</v>
      </c>
      <c r="K3003" s="4" t="s">
        <v>9613</v>
      </c>
      <c r="L3003" s="5">
        <v>41336</v>
      </c>
    </row>
    <row r="3004" spans="1:12" x14ac:dyDescent="0.25">
      <c r="A3004" s="3" t="s">
        <v>9197</v>
      </c>
      <c r="B3004" s="4" t="s">
        <v>9368</v>
      </c>
      <c r="C3004" s="4" t="s">
        <v>14</v>
      </c>
      <c r="D3004" s="4" t="s">
        <v>15</v>
      </c>
      <c r="E3004" s="5" t="str">
        <f>"9521020"</f>
        <v>9521020</v>
      </c>
      <c r="F3004" s="3" t="s">
        <v>9614</v>
      </c>
      <c r="G3004" s="5">
        <v>2410592003</v>
      </c>
      <c r="H3004" s="4" t="s">
        <v>9615</v>
      </c>
      <c r="I3004" s="4" t="s">
        <v>9371</v>
      </c>
      <c r="J3004" s="4" t="s">
        <v>9507</v>
      </c>
      <c r="K3004" s="4" t="s">
        <v>8190</v>
      </c>
      <c r="L3004" s="5">
        <v>41500</v>
      </c>
    </row>
    <row r="3005" spans="1:12" x14ac:dyDescent="0.25">
      <c r="A3005" s="3" t="s">
        <v>9197</v>
      </c>
      <c r="B3005" s="4" t="s">
        <v>9368</v>
      </c>
      <c r="C3005" s="4" t="s">
        <v>14</v>
      </c>
      <c r="D3005" s="4" t="s">
        <v>15</v>
      </c>
      <c r="E3005" s="5" t="str">
        <f>"9310214"</f>
        <v>9310214</v>
      </c>
      <c r="F3005" s="3" t="s">
        <v>9616</v>
      </c>
      <c r="G3005" s="5">
        <v>2410250061</v>
      </c>
      <c r="H3005" s="4" t="s">
        <v>9617</v>
      </c>
      <c r="I3005" s="4" t="s">
        <v>9371</v>
      </c>
      <c r="J3005" s="4" t="s">
        <v>9372</v>
      </c>
      <c r="K3005" s="4" t="s">
        <v>9393</v>
      </c>
      <c r="L3005" s="5">
        <v>41222</v>
      </c>
    </row>
    <row r="3006" spans="1:12" x14ac:dyDescent="0.25">
      <c r="A3006" s="3" t="s">
        <v>9197</v>
      </c>
      <c r="B3006" s="4" t="s">
        <v>9368</v>
      </c>
      <c r="C3006" s="4" t="s">
        <v>14</v>
      </c>
      <c r="D3006" s="4" t="s">
        <v>15</v>
      </c>
      <c r="E3006" s="5" t="str">
        <f>"9310429"</f>
        <v>9310429</v>
      </c>
      <c r="F3006" s="3" t="s">
        <v>9618</v>
      </c>
      <c r="G3006" s="5">
        <v>2410253907</v>
      </c>
      <c r="H3006" s="4" t="s">
        <v>9619</v>
      </c>
      <c r="I3006" s="4" t="s">
        <v>9371</v>
      </c>
      <c r="J3006" s="4" t="s">
        <v>9372</v>
      </c>
      <c r="K3006" s="4" t="s">
        <v>9393</v>
      </c>
      <c r="L3006" s="5">
        <v>41222</v>
      </c>
    </row>
    <row r="3007" spans="1:12" x14ac:dyDescent="0.25">
      <c r="A3007" s="3" t="s">
        <v>9197</v>
      </c>
      <c r="B3007" s="4" t="s">
        <v>9368</v>
      </c>
      <c r="C3007" s="4" t="s">
        <v>14</v>
      </c>
      <c r="D3007" s="4" t="s">
        <v>15</v>
      </c>
      <c r="E3007" s="5" t="str">
        <f>"9310399"</f>
        <v>9310399</v>
      </c>
      <c r="F3007" s="3" t="s">
        <v>9620</v>
      </c>
      <c r="G3007" s="5">
        <v>2410613352</v>
      </c>
      <c r="H3007" s="4" t="s">
        <v>9621</v>
      </c>
      <c r="I3007" s="4" t="s">
        <v>9371</v>
      </c>
      <c r="J3007" s="4" t="s">
        <v>9372</v>
      </c>
      <c r="K3007" s="4" t="s">
        <v>9622</v>
      </c>
      <c r="L3007" s="5">
        <v>41334</v>
      </c>
    </row>
    <row r="3008" spans="1:12" x14ac:dyDescent="0.25">
      <c r="A3008" s="3" t="s">
        <v>9197</v>
      </c>
      <c r="B3008" s="4" t="s">
        <v>9368</v>
      </c>
      <c r="C3008" s="4" t="s">
        <v>14</v>
      </c>
      <c r="D3008" s="4" t="s">
        <v>15</v>
      </c>
      <c r="E3008" s="5" t="str">
        <f>"9310352"</f>
        <v>9310352</v>
      </c>
      <c r="F3008" s="3" t="s">
        <v>9623</v>
      </c>
      <c r="G3008" s="5">
        <v>2410612279</v>
      </c>
      <c r="H3008" s="4" t="s">
        <v>9624</v>
      </c>
      <c r="I3008" s="4" t="s">
        <v>9371</v>
      </c>
      <c r="J3008" s="4" t="s">
        <v>9625</v>
      </c>
      <c r="K3008" s="4" t="s">
        <v>9511</v>
      </c>
      <c r="L3008" s="5">
        <v>41222</v>
      </c>
    </row>
    <row r="3009" spans="1:12" x14ac:dyDescent="0.25">
      <c r="A3009" s="3" t="s">
        <v>9197</v>
      </c>
      <c r="B3009" s="4" t="s">
        <v>9368</v>
      </c>
      <c r="C3009" s="4" t="s">
        <v>25</v>
      </c>
      <c r="D3009" s="4" t="s">
        <v>26</v>
      </c>
      <c r="E3009" s="5" t="str">
        <f>"9310017"</f>
        <v>9310017</v>
      </c>
      <c r="F3009" s="3" t="s">
        <v>9626</v>
      </c>
      <c r="G3009" s="5">
        <v>2493025159</v>
      </c>
      <c r="H3009" s="4" t="s">
        <v>9627</v>
      </c>
      <c r="I3009" s="4" t="s">
        <v>9521</v>
      </c>
      <c r="J3009" s="4" t="s">
        <v>9628</v>
      </c>
      <c r="K3009" s="4" t="s">
        <v>9629</v>
      </c>
      <c r="L3009" s="5">
        <v>40200</v>
      </c>
    </row>
    <row r="3010" spans="1:12" x14ac:dyDescent="0.25">
      <c r="A3010" s="3" t="s">
        <v>9197</v>
      </c>
      <c r="B3010" s="4" t="s">
        <v>9368</v>
      </c>
      <c r="C3010" s="4" t="s">
        <v>25</v>
      </c>
      <c r="D3010" s="4" t="s">
        <v>26</v>
      </c>
      <c r="E3010" s="5" t="str">
        <f>"9310019"</f>
        <v>9310019</v>
      </c>
      <c r="F3010" s="3" t="s">
        <v>9630</v>
      </c>
      <c r="G3010" s="5">
        <v>2493025028</v>
      </c>
      <c r="H3010" s="4" t="s">
        <v>9631</v>
      </c>
      <c r="I3010" s="4" t="s">
        <v>9521</v>
      </c>
      <c r="J3010" s="4" t="s">
        <v>9628</v>
      </c>
      <c r="K3010" s="4" t="s">
        <v>9632</v>
      </c>
      <c r="L3010" s="5">
        <v>40200</v>
      </c>
    </row>
    <row r="3011" spans="1:12" x14ac:dyDescent="0.25">
      <c r="A3011" s="3" t="s">
        <v>9197</v>
      </c>
      <c r="B3011" s="4" t="s">
        <v>9368</v>
      </c>
      <c r="C3011" s="4" t="s">
        <v>25</v>
      </c>
      <c r="D3011" s="4" t="s">
        <v>26</v>
      </c>
      <c r="E3011" s="5" t="str">
        <f>"9310441"</f>
        <v>9310441</v>
      </c>
      <c r="F3011" s="3" t="s">
        <v>9633</v>
      </c>
      <c r="G3011" s="5">
        <v>2492033052</v>
      </c>
      <c r="H3011" s="4" t="s">
        <v>9634</v>
      </c>
      <c r="I3011" s="4" t="s">
        <v>9456</v>
      </c>
      <c r="J3011" s="4" t="s">
        <v>9567</v>
      </c>
      <c r="K3011" s="4" t="s">
        <v>9635</v>
      </c>
      <c r="L3011" s="5">
        <v>40400</v>
      </c>
    </row>
    <row r="3012" spans="1:12" x14ac:dyDescent="0.25">
      <c r="A3012" s="3" t="s">
        <v>9197</v>
      </c>
      <c r="B3012" s="4" t="s">
        <v>9368</v>
      </c>
      <c r="C3012" s="4" t="s">
        <v>25</v>
      </c>
      <c r="D3012" s="4" t="s">
        <v>26</v>
      </c>
      <c r="E3012" s="5" t="str">
        <f>"9310250"</f>
        <v>9310250</v>
      </c>
      <c r="F3012" s="3" t="s">
        <v>9636</v>
      </c>
      <c r="G3012" s="5">
        <v>2495305026</v>
      </c>
      <c r="H3012" s="4" t="s">
        <v>9637</v>
      </c>
      <c r="I3012" s="4" t="s">
        <v>9409</v>
      </c>
      <c r="J3012" s="4" t="s">
        <v>9410</v>
      </c>
      <c r="K3012" s="4" t="s">
        <v>9410</v>
      </c>
      <c r="L3012" s="5">
        <v>40007</v>
      </c>
    </row>
    <row r="3013" spans="1:12" x14ac:dyDescent="0.25">
      <c r="A3013" s="3" t="s">
        <v>9197</v>
      </c>
      <c r="B3013" s="4" t="s">
        <v>9368</v>
      </c>
      <c r="C3013" s="4" t="s">
        <v>25</v>
      </c>
      <c r="D3013" s="4" t="s">
        <v>26</v>
      </c>
      <c r="E3013" s="5" t="str">
        <f>"9310385"</f>
        <v>9310385</v>
      </c>
      <c r="F3013" s="3" t="s">
        <v>9638</v>
      </c>
      <c r="G3013" s="5">
        <v>2410533578</v>
      </c>
      <c r="H3013" s="4" t="s">
        <v>9639</v>
      </c>
      <c r="I3013" s="4" t="s">
        <v>9371</v>
      </c>
      <c r="J3013" s="4" t="s">
        <v>9372</v>
      </c>
      <c r="K3013" s="4" t="s">
        <v>9547</v>
      </c>
      <c r="L3013" s="5">
        <v>41447</v>
      </c>
    </row>
    <row r="3014" spans="1:12" x14ac:dyDescent="0.25">
      <c r="A3014" s="3" t="s">
        <v>9197</v>
      </c>
      <c r="B3014" s="4" t="s">
        <v>9368</v>
      </c>
      <c r="C3014" s="4" t="s">
        <v>25</v>
      </c>
      <c r="D3014" s="4" t="s">
        <v>26</v>
      </c>
      <c r="E3014" s="5" t="str">
        <f>"9310419"</f>
        <v>9310419</v>
      </c>
      <c r="F3014" s="3" t="s">
        <v>9640</v>
      </c>
      <c r="G3014" s="5">
        <v>2411103528</v>
      </c>
      <c r="H3014" s="4" t="s">
        <v>9641</v>
      </c>
      <c r="I3014" s="4" t="s">
        <v>9371</v>
      </c>
      <c r="J3014" s="4" t="s">
        <v>9372</v>
      </c>
      <c r="K3014" s="4" t="s">
        <v>9642</v>
      </c>
      <c r="L3014" s="5">
        <v>41221</v>
      </c>
    </row>
    <row r="3015" spans="1:12" x14ac:dyDescent="0.25">
      <c r="A3015" s="3" t="s">
        <v>9197</v>
      </c>
      <c r="B3015" s="4" t="s">
        <v>9368</v>
      </c>
      <c r="C3015" s="4" t="s">
        <v>25</v>
      </c>
      <c r="D3015" s="4" t="s">
        <v>26</v>
      </c>
      <c r="E3015" s="5" t="str">
        <f>"9310242"</f>
        <v>9310242</v>
      </c>
      <c r="F3015" s="3" t="s">
        <v>9643</v>
      </c>
      <c r="G3015" s="5">
        <v>2495031483</v>
      </c>
      <c r="H3015" s="4" t="s">
        <v>9644</v>
      </c>
      <c r="I3015" s="4" t="s">
        <v>9409</v>
      </c>
      <c r="J3015" s="4" t="s">
        <v>9645</v>
      </c>
      <c r="K3015" s="4" t="s">
        <v>9645</v>
      </c>
      <c r="L3015" s="5">
        <v>40004</v>
      </c>
    </row>
    <row r="3016" spans="1:12" x14ac:dyDescent="0.25">
      <c r="A3016" s="3" t="s">
        <v>9197</v>
      </c>
      <c r="B3016" s="4" t="s">
        <v>9368</v>
      </c>
      <c r="C3016" s="4" t="s">
        <v>25</v>
      </c>
      <c r="D3016" s="4" t="s">
        <v>26</v>
      </c>
      <c r="E3016" s="5" t="str">
        <f>"9310104"</f>
        <v>9310104</v>
      </c>
      <c r="F3016" s="3" t="s">
        <v>9646</v>
      </c>
      <c r="G3016" s="5">
        <v>2410234740</v>
      </c>
      <c r="H3016" s="4" t="s">
        <v>9647</v>
      </c>
      <c r="I3016" s="4" t="s">
        <v>9371</v>
      </c>
      <c r="J3016" s="4" t="s">
        <v>9372</v>
      </c>
      <c r="K3016" s="4" t="s">
        <v>9642</v>
      </c>
      <c r="L3016" s="5">
        <v>41221</v>
      </c>
    </row>
    <row r="3017" spans="1:12" x14ac:dyDescent="0.25">
      <c r="A3017" s="3" t="s">
        <v>9197</v>
      </c>
      <c r="B3017" s="4" t="s">
        <v>9368</v>
      </c>
      <c r="C3017" s="4" t="s">
        <v>25</v>
      </c>
      <c r="D3017" s="4" t="s">
        <v>26</v>
      </c>
      <c r="E3017" s="5" t="str">
        <f>"9310373"</f>
        <v>9310373</v>
      </c>
      <c r="F3017" s="3" t="s">
        <v>9648</v>
      </c>
      <c r="G3017" s="5">
        <v>2410253180</v>
      </c>
      <c r="H3017" s="4" t="s">
        <v>9649</v>
      </c>
      <c r="I3017" s="4" t="s">
        <v>9371</v>
      </c>
      <c r="J3017" s="4" t="s">
        <v>9372</v>
      </c>
      <c r="K3017" s="4" t="s">
        <v>9650</v>
      </c>
      <c r="L3017" s="5">
        <v>41447</v>
      </c>
    </row>
    <row r="3018" spans="1:12" x14ac:dyDescent="0.25">
      <c r="A3018" s="3" t="s">
        <v>9197</v>
      </c>
      <c r="B3018" s="4" t="s">
        <v>9368</v>
      </c>
      <c r="C3018" s="4" t="s">
        <v>14</v>
      </c>
      <c r="D3018" s="4" t="s">
        <v>15</v>
      </c>
      <c r="E3018" s="5" t="str">
        <f>"9310111"</f>
        <v>9310111</v>
      </c>
      <c r="F3018" s="3" t="s">
        <v>9651</v>
      </c>
      <c r="G3018" s="5">
        <v>2410660098</v>
      </c>
      <c r="H3018" s="4" t="s">
        <v>9652</v>
      </c>
      <c r="I3018" s="4" t="s">
        <v>9371</v>
      </c>
      <c r="J3018" s="4" t="s">
        <v>9372</v>
      </c>
      <c r="K3018" s="4" t="s">
        <v>9653</v>
      </c>
      <c r="L3018" s="5">
        <v>41335</v>
      </c>
    </row>
    <row r="3019" spans="1:12" x14ac:dyDescent="0.25">
      <c r="A3019" s="3" t="s">
        <v>9197</v>
      </c>
      <c r="B3019" s="4" t="s">
        <v>9368</v>
      </c>
      <c r="C3019" s="4" t="s">
        <v>14</v>
      </c>
      <c r="D3019" s="4" t="s">
        <v>15</v>
      </c>
      <c r="E3019" s="5" t="str">
        <f>"9310107"</f>
        <v>9310107</v>
      </c>
      <c r="F3019" s="3" t="s">
        <v>9654</v>
      </c>
      <c r="G3019" s="5">
        <v>2410620725</v>
      </c>
      <c r="H3019" s="4" t="s">
        <v>9655</v>
      </c>
      <c r="I3019" s="4" t="s">
        <v>9371</v>
      </c>
      <c r="J3019" s="4" t="s">
        <v>9372</v>
      </c>
      <c r="K3019" s="4" t="s">
        <v>9396</v>
      </c>
      <c r="L3019" s="5">
        <v>41335</v>
      </c>
    </row>
    <row r="3020" spans="1:12" x14ac:dyDescent="0.25">
      <c r="A3020" s="3" t="s">
        <v>9197</v>
      </c>
      <c r="B3020" s="4" t="s">
        <v>9368</v>
      </c>
      <c r="C3020" s="4" t="s">
        <v>14</v>
      </c>
      <c r="D3020" s="4" t="s">
        <v>15</v>
      </c>
      <c r="E3020" s="5" t="str">
        <f>"9310108"</f>
        <v>9310108</v>
      </c>
      <c r="F3020" s="3" t="s">
        <v>9656</v>
      </c>
      <c r="G3020" s="5">
        <v>2410620277</v>
      </c>
      <c r="H3020" s="4" t="s">
        <v>9657</v>
      </c>
      <c r="I3020" s="4" t="s">
        <v>9371</v>
      </c>
      <c r="J3020" s="4" t="s">
        <v>9372</v>
      </c>
      <c r="K3020" s="4" t="s">
        <v>9585</v>
      </c>
      <c r="L3020" s="5">
        <v>41335</v>
      </c>
    </row>
    <row r="3021" spans="1:12" x14ac:dyDescent="0.25">
      <c r="A3021" s="3" t="s">
        <v>9197</v>
      </c>
      <c r="B3021" s="4" t="s">
        <v>9368</v>
      </c>
      <c r="C3021" s="4" t="s">
        <v>14</v>
      </c>
      <c r="D3021" s="4" t="s">
        <v>15</v>
      </c>
      <c r="E3021" s="5" t="str">
        <f>"9310113"</f>
        <v>9310113</v>
      </c>
      <c r="F3021" s="3" t="s">
        <v>9658</v>
      </c>
      <c r="G3021" s="5">
        <v>2410615853</v>
      </c>
      <c r="H3021" s="4" t="s">
        <v>9659</v>
      </c>
      <c r="I3021" s="4" t="s">
        <v>9371</v>
      </c>
      <c r="J3021" s="4" t="s">
        <v>9372</v>
      </c>
      <c r="K3021" s="4" t="s">
        <v>9660</v>
      </c>
      <c r="L3021" s="5">
        <v>41335</v>
      </c>
    </row>
    <row r="3022" spans="1:12" x14ac:dyDescent="0.25">
      <c r="A3022" s="3" t="s">
        <v>9197</v>
      </c>
      <c r="B3022" s="4" t="s">
        <v>9368</v>
      </c>
      <c r="C3022" s="4" t="s">
        <v>14</v>
      </c>
      <c r="D3022" s="4" t="s">
        <v>15</v>
      </c>
      <c r="E3022" s="5" t="str">
        <f>"9310181"</f>
        <v>9310181</v>
      </c>
      <c r="F3022" s="3" t="s">
        <v>9661</v>
      </c>
      <c r="G3022" s="5">
        <v>2410921226</v>
      </c>
      <c r="H3022" s="4" t="s">
        <v>9662</v>
      </c>
      <c r="I3022" s="4" t="s">
        <v>9376</v>
      </c>
      <c r="J3022" s="4" t="s">
        <v>5736</v>
      </c>
      <c r="K3022" s="4" t="s">
        <v>9663</v>
      </c>
      <c r="L3022" s="5">
        <v>41005</v>
      </c>
    </row>
    <row r="3023" spans="1:12" x14ac:dyDescent="0.25">
      <c r="A3023" s="3" t="s">
        <v>9197</v>
      </c>
      <c r="B3023" s="4" t="s">
        <v>9368</v>
      </c>
      <c r="C3023" s="4" t="s">
        <v>25</v>
      </c>
      <c r="D3023" s="4" t="s">
        <v>26</v>
      </c>
      <c r="E3023" s="5" t="str">
        <f>"9310219"</f>
        <v>9310219</v>
      </c>
      <c r="F3023" s="3" t="s">
        <v>9664</v>
      </c>
      <c r="G3023" s="5">
        <v>2410535702</v>
      </c>
      <c r="H3023" s="4" t="s">
        <v>9665</v>
      </c>
      <c r="I3023" s="4" t="s">
        <v>9371</v>
      </c>
      <c r="J3023" s="4" t="s">
        <v>9372</v>
      </c>
      <c r="K3023" s="4" t="s">
        <v>9666</v>
      </c>
      <c r="L3023" s="5">
        <v>41447</v>
      </c>
    </row>
    <row r="3024" spans="1:12" x14ac:dyDescent="0.25">
      <c r="A3024" s="3" t="s">
        <v>9197</v>
      </c>
      <c r="B3024" s="4" t="s">
        <v>9368</v>
      </c>
      <c r="C3024" s="4" t="s">
        <v>25</v>
      </c>
      <c r="D3024" s="4" t="s">
        <v>26</v>
      </c>
      <c r="E3024" s="5" t="str">
        <f>"9310420"</f>
        <v>9310420</v>
      </c>
      <c r="F3024" s="3" t="s">
        <v>9667</v>
      </c>
      <c r="G3024" s="5">
        <v>2416006978</v>
      </c>
      <c r="H3024" s="4" t="s">
        <v>9668</v>
      </c>
      <c r="I3024" s="4" t="s">
        <v>9371</v>
      </c>
      <c r="J3024" s="4" t="s">
        <v>9372</v>
      </c>
      <c r="K3024" s="4" t="s">
        <v>9669</v>
      </c>
      <c r="L3024" s="5">
        <v>41221</v>
      </c>
    </row>
    <row r="3025" spans="1:12" x14ac:dyDescent="0.25">
      <c r="A3025" s="3" t="s">
        <v>9197</v>
      </c>
      <c r="B3025" s="4" t="s">
        <v>9368</v>
      </c>
      <c r="C3025" s="4" t="s">
        <v>25</v>
      </c>
      <c r="D3025" s="4" t="s">
        <v>26</v>
      </c>
      <c r="E3025" s="5" t="str">
        <f>"9310349"</f>
        <v>9310349</v>
      </c>
      <c r="F3025" s="3" t="s">
        <v>9670</v>
      </c>
      <c r="G3025" s="5">
        <v>2410530014</v>
      </c>
      <c r="H3025" s="4" t="s">
        <v>9671</v>
      </c>
      <c r="I3025" s="4" t="s">
        <v>9371</v>
      </c>
      <c r="J3025" s="4" t="s">
        <v>9372</v>
      </c>
      <c r="K3025" s="4" t="s">
        <v>9672</v>
      </c>
      <c r="L3025" s="5">
        <v>41447</v>
      </c>
    </row>
    <row r="3026" spans="1:12" x14ac:dyDescent="0.25">
      <c r="A3026" s="3" t="s">
        <v>9197</v>
      </c>
      <c r="B3026" s="4" t="s">
        <v>9368</v>
      </c>
      <c r="C3026" s="4" t="s">
        <v>25</v>
      </c>
      <c r="D3026" s="4" t="s">
        <v>26</v>
      </c>
      <c r="E3026" s="5" t="str">
        <f>"9310515"</f>
        <v>9310515</v>
      </c>
      <c r="F3026" s="3" t="s">
        <v>9673</v>
      </c>
      <c r="G3026" s="5">
        <v>2410593061</v>
      </c>
      <c r="H3026" s="4" t="s">
        <v>9674</v>
      </c>
      <c r="I3026" s="4" t="s">
        <v>9371</v>
      </c>
      <c r="J3026" s="4" t="s">
        <v>9507</v>
      </c>
      <c r="K3026" s="4" t="s">
        <v>9675</v>
      </c>
      <c r="L3026" s="5">
        <v>41500</v>
      </c>
    </row>
    <row r="3027" spans="1:12" x14ac:dyDescent="0.25">
      <c r="A3027" s="3" t="s">
        <v>9197</v>
      </c>
      <c r="B3027" s="4" t="s">
        <v>9368</v>
      </c>
      <c r="C3027" s="4" t="s">
        <v>25</v>
      </c>
      <c r="D3027" s="4" t="s">
        <v>26</v>
      </c>
      <c r="E3027" s="5" t="str">
        <f>"9310195"</f>
        <v>9310195</v>
      </c>
      <c r="F3027" s="3" t="s">
        <v>9676</v>
      </c>
      <c r="G3027" s="5">
        <v>2492024440</v>
      </c>
      <c r="H3027" s="4" t="s">
        <v>9677</v>
      </c>
      <c r="I3027" s="4" t="s">
        <v>9456</v>
      </c>
      <c r="J3027" s="4" t="s">
        <v>9457</v>
      </c>
      <c r="K3027" s="4" t="s">
        <v>9678</v>
      </c>
      <c r="L3027" s="5">
        <v>40100</v>
      </c>
    </row>
    <row r="3028" spans="1:12" x14ac:dyDescent="0.25">
      <c r="A3028" s="3" t="s">
        <v>9197</v>
      </c>
      <c r="B3028" s="4" t="s">
        <v>9368</v>
      </c>
      <c r="C3028" s="4" t="s">
        <v>25</v>
      </c>
      <c r="D3028" s="4" t="s">
        <v>26</v>
      </c>
      <c r="E3028" s="5" t="str">
        <f>"9310328"</f>
        <v>9310328</v>
      </c>
      <c r="F3028" s="3" t="s">
        <v>9679</v>
      </c>
      <c r="G3028" s="5">
        <v>2492023170</v>
      </c>
      <c r="H3028" s="4" t="s">
        <v>9680</v>
      </c>
      <c r="I3028" s="4" t="s">
        <v>9456</v>
      </c>
      <c r="J3028" s="4" t="s">
        <v>9457</v>
      </c>
      <c r="K3028" s="4" t="s">
        <v>9681</v>
      </c>
      <c r="L3028" s="5">
        <v>40100</v>
      </c>
    </row>
    <row r="3029" spans="1:12" x14ac:dyDescent="0.25">
      <c r="A3029" s="3" t="s">
        <v>9197</v>
      </c>
      <c r="B3029" s="4" t="s">
        <v>9368</v>
      </c>
      <c r="C3029" s="4" t="s">
        <v>25</v>
      </c>
      <c r="D3029" s="4" t="s">
        <v>26</v>
      </c>
      <c r="E3029" s="5" t="str">
        <f>"9310196"</f>
        <v>9310196</v>
      </c>
      <c r="F3029" s="3" t="s">
        <v>9682</v>
      </c>
      <c r="G3029" s="5">
        <v>2492023814</v>
      </c>
      <c r="H3029" s="4" t="s">
        <v>9683</v>
      </c>
      <c r="I3029" s="4" t="s">
        <v>9456</v>
      </c>
      <c r="J3029" s="4" t="s">
        <v>9457</v>
      </c>
      <c r="K3029" s="4" t="s">
        <v>9684</v>
      </c>
      <c r="L3029" s="5">
        <v>40100</v>
      </c>
    </row>
    <row r="3030" spans="1:12" x14ac:dyDescent="0.25">
      <c r="A3030" s="3" t="s">
        <v>9197</v>
      </c>
      <c r="B3030" s="4" t="s">
        <v>9368</v>
      </c>
      <c r="C3030" s="4" t="s">
        <v>25</v>
      </c>
      <c r="D3030" s="4" t="s">
        <v>26</v>
      </c>
      <c r="E3030" s="5" t="str">
        <f>"9310194"</f>
        <v>9310194</v>
      </c>
      <c r="F3030" s="3" t="s">
        <v>9685</v>
      </c>
      <c r="G3030" s="5">
        <v>2492024220</v>
      </c>
      <c r="H3030" s="4" t="s">
        <v>9686</v>
      </c>
      <c r="I3030" s="4" t="s">
        <v>9456</v>
      </c>
      <c r="J3030" s="4" t="s">
        <v>9457</v>
      </c>
      <c r="K3030" s="4" t="s">
        <v>9464</v>
      </c>
      <c r="L3030" s="5">
        <v>40100</v>
      </c>
    </row>
    <row r="3031" spans="1:12" x14ac:dyDescent="0.25">
      <c r="A3031" s="3" t="s">
        <v>9197</v>
      </c>
      <c r="B3031" s="4" t="s">
        <v>9368</v>
      </c>
      <c r="C3031" s="4" t="s">
        <v>25</v>
      </c>
      <c r="D3031" s="4" t="s">
        <v>26</v>
      </c>
      <c r="E3031" s="5" t="str">
        <f>"9310494"</f>
        <v>9310494</v>
      </c>
      <c r="F3031" s="3" t="s">
        <v>9687</v>
      </c>
      <c r="G3031" s="5">
        <v>2410592328</v>
      </c>
      <c r="H3031" s="4" t="s">
        <v>9688</v>
      </c>
      <c r="I3031" s="4" t="s">
        <v>9371</v>
      </c>
      <c r="J3031" s="4" t="s">
        <v>9507</v>
      </c>
      <c r="K3031" s="4" t="s">
        <v>9689</v>
      </c>
      <c r="L3031" s="5">
        <v>41500</v>
      </c>
    </row>
    <row r="3032" spans="1:12" x14ac:dyDescent="0.25">
      <c r="A3032" s="3" t="s">
        <v>9197</v>
      </c>
      <c r="B3032" s="4" t="s">
        <v>9368</v>
      </c>
      <c r="C3032" s="4" t="s">
        <v>25</v>
      </c>
      <c r="D3032" s="4" t="s">
        <v>26</v>
      </c>
      <c r="E3032" s="5" t="str">
        <f>"9310200"</f>
        <v>9310200</v>
      </c>
      <c r="F3032" s="3" t="s">
        <v>9690</v>
      </c>
      <c r="G3032" s="5">
        <v>2410592330</v>
      </c>
      <c r="H3032" s="4" t="s">
        <v>9691</v>
      </c>
      <c r="I3032" s="4" t="s">
        <v>9371</v>
      </c>
      <c r="J3032" s="4" t="s">
        <v>9507</v>
      </c>
      <c r="K3032" s="4" t="s">
        <v>9692</v>
      </c>
      <c r="L3032" s="5">
        <v>41500</v>
      </c>
    </row>
    <row r="3033" spans="1:12" x14ac:dyDescent="0.25">
      <c r="A3033" s="3" t="s">
        <v>9197</v>
      </c>
      <c r="B3033" s="4" t="s">
        <v>9368</v>
      </c>
      <c r="C3033" s="4" t="s">
        <v>25</v>
      </c>
      <c r="D3033" s="4" t="s">
        <v>26</v>
      </c>
      <c r="E3033" s="5" t="str">
        <f>"9310387"</f>
        <v>9310387</v>
      </c>
      <c r="F3033" s="3" t="s">
        <v>9693</v>
      </c>
      <c r="G3033" s="5">
        <v>2492032813</v>
      </c>
      <c r="H3033" s="4" t="s">
        <v>9694</v>
      </c>
      <c r="I3033" s="4" t="s">
        <v>9456</v>
      </c>
      <c r="J3033" s="4" t="s">
        <v>9567</v>
      </c>
      <c r="K3033" s="4" t="s">
        <v>7223</v>
      </c>
      <c r="L3033" s="5">
        <v>40400</v>
      </c>
    </row>
    <row r="3034" spans="1:12" x14ac:dyDescent="0.25">
      <c r="A3034" s="3" t="s">
        <v>9197</v>
      </c>
      <c r="B3034" s="4" t="s">
        <v>9368</v>
      </c>
      <c r="C3034" s="4" t="s">
        <v>25</v>
      </c>
      <c r="D3034" s="4" t="s">
        <v>26</v>
      </c>
      <c r="E3034" s="5" t="str">
        <f>"9310220"</f>
        <v>9310220</v>
      </c>
      <c r="F3034" s="3" t="s">
        <v>9695</v>
      </c>
      <c r="G3034" s="5">
        <v>2410250923</v>
      </c>
      <c r="H3034" s="4" t="s">
        <v>9696</v>
      </c>
      <c r="I3034" s="4" t="s">
        <v>9371</v>
      </c>
      <c r="J3034" s="4" t="s">
        <v>9372</v>
      </c>
      <c r="K3034" s="4" t="s">
        <v>9672</v>
      </c>
      <c r="L3034" s="5">
        <v>41447</v>
      </c>
    </row>
    <row r="3035" spans="1:12" x14ac:dyDescent="0.25">
      <c r="A3035" s="3" t="s">
        <v>9197</v>
      </c>
      <c r="B3035" s="4" t="s">
        <v>9368</v>
      </c>
      <c r="C3035" s="4" t="s">
        <v>25</v>
      </c>
      <c r="D3035" s="4" t="s">
        <v>26</v>
      </c>
      <c r="E3035" s="5" t="str">
        <f>"9310511"</f>
        <v>9310511</v>
      </c>
      <c r="F3035" s="3" t="s">
        <v>9697</v>
      </c>
      <c r="G3035" s="5">
        <v>2492025685</v>
      </c>
      <c r="H3035" s="4" t="s">
        <v>9698</v>
      </c>
      <c r="I3035" s="4" t="s">
        <v>9456</v>
      </c>
      <c r="J3035" s="4" t="s">
        <v>9457</v>
      </c>
      <c r="K3035" s="4" t="s">
        <v>9699</v>
      </c>
      <c r="L3035" s="5">
        <v>40100</v>
      </c>
    </row>
    <row r="3036" spans="1:12" x14ac:dyDescent="0.25">
      <c r="A3036" s="3" t="s">
        <v>9197</v>
      </c>
      <c r="B3036" s="4" t="s">
        <v>9368</v>
      </c>
      <c r="C3036" s="4" t="s">
        <v>14</v>
      </c>
      <c r="D3036" s="4" t="s">
        <v>15</v>
      </c>
      <c r="E3036" s="5" t="str">
        <f>"9310226"</f>
        <v>9310226</v>
      </c>
      <c r="F3036" s="3" t="s">
        <v>9700</v>
      </c>
      <c r="G3036" s="5">
        <v>2495022471</v>
      </c>
      <c r="H3036" s="4" t="s">
        <v>9701</v>
      </c>
      <c r="I3036" s="4" t="s">
        <v>9409</v>
      </c>
      <c r="J3036" s="4" t="s">
        <v>9255</v>
      </c>
      <c r="K3036" s="4" t="s">
        <v>9702</v>
      </c>
      <c r="L3036" s="5">
        <v>40006</v>
      </c>
    </row>
    <row r="3037" spans="1:12" x14ac:dyDescent="0.25">
      <c r="A3037" s="3" t="s">
        <v>9197</v>
      </c>
      <c r="B3037" s="4" t="s">
        <v>9368</v>
      </c>
      <c r="C3037" s="4" t="s">
        <v>14</v>
      </c>
      <c r="D3037" s="4" t="s">
        <v>15</v>
      </c>
      <c r="E3037" s="5" t="str">
        <f>"9310146"</f>
        <v>9310146</v>
      </c>
      <c r="F3037" s="3" t="s">
        <v>9703</v>
      </c>
      <c r="G3037" s="5">
        <v>2492091244</v>
      </c>
      <c r="H3037" s="4" t="s">
        <v>9704</v>
      </c>
      <c r="I3037" s="4" t="s">
        <v>9521</v>
      </c>
      <c r="J3037" s="4" t="s">
        <v>9705</v>
      </c>
      <c r="K3037" s="4" t="s">
        <v>9705</v>
      </c>
      <c r="L3037" s="5">
        <v>40100</v>
      </c>
    </row>
    <row r="3038" spans="1:12" x14ac:dyDescent="0.25">
      <c r="A3038" s="3" t="s">
        <v>9197</v>
      </c>
      <c r="B3038" s="4" t="s">
        <v>9368</v>
      </c>
      <c r="C3038" s="4" t="s">
        <v>14</v>
      </c>
      <c r="D3038" s="4" t="s">
        <v>15</v>
      </c>
      <c r="E3038" s="5" t="str">
        <f>"9310207"</f>
        <v>9310207</v>
      </c>
      <c r="F3038" s="3" t="s">
        <v>9706</v>
      </c>
      <c r="G3038" s="5">
        <v>2491022347</v>
      </c>
      <c r="H3038" s="4" t="s">
        <v>9707</v>
      </c>
      <c r="I3038" s="4" t="s">
        <v>9476</v>
      </c>
      <c r="J3038" s="4" t="s">
        <v>9526</v>
      </c>
      <c r="K3038" s="4" t="s">
        <v>9708</v>
      </c>
      <c r="L3038" s="5">
        <v>40300</v>
      </c>
    </row>
    <row r="3039" spans="1:12" x14ac:dyDescent="0.25">
      <c r="A3039" s="3" t="s">
        <v>9197</v>
      </c>
      <c r="B3039" s="4" t="s">
        <v>9368</v>
      </c>
      <c r="C3039" s="4" t="s">
        <v>14</v>
      </c>
      <c r="D3039" s="4" t="s">
        <v>15</v>
      </c>
      <c r="E3039" s="5" t="str">
        <f>"9310430"</f>
        <v>9310430</v>
      </c>
      <c r="F3039" s="3" t="s">
        <v>9709</v>
      </c>
      <c r="G3039" s="5">
        <v>2410591251</v>
      </c>
      <c r="H3039" s="4" t="s">
        <v>9710</v>
      </c>
      <c r="I3039" s="4" t="s">
        <v>9371</v>
      </c>
      <c r="J3039" s="4" t="s">
        <v>9507</v>
      </c>
      <c r="K3039" s="4" t="s">
        <v>9689</v>
      </c>
      <c r="L3039" s="5">
        <v>41500</v>
      </c>
    </row>
    <row r="3040" spans="1:12" x14ac:dyDescent="0.25">
      <c r="A3040" s="3" t="s">
        <v>9197</v>
      </c>
      <c r="B3040" s="4" t="s">
        <v>9368</v>
      </c>
      <c r="C3040" s="4" t="s">
        <v>14</v>
      </c>
      <c r="D3040" s="4" t="s">
        <v>15</v>
      </c>
      <c r="E3040" s="5" t="str">
        <f>"9310239"</f>
        <v>9310239</v>
      </c>
      <c r="F3040" s="3" t="s">
        <v>9711</v>
      </c>
      <c r="G3040" s="5">
        <v>2492031255</v>
      </c>
      <c r="H3040" s="4" t="s">
        <v>9712</v>
      </c>
      <c r="I3040" s="4" t="s">
        <v>9456</v>
      </c>
      <c r="J3040" s="4" t="s">
        <v>9567</v>
      </c>
      <c r="K3040" s="4" t="s">
        <v>9635</v>
      </c>
      <c r="L3040" s="5">
        <v>40400</v>
      </c>
    </row>
    <row r="3041" spans="1:12" x14ac:dyDescent="0.25">
      <c r="A3041" s="3" t="s">
        <v>9197</v>
      </c>
      <c r="B3041" s="4" t="s">
        <v>9368</v>
      </c>
      <c r="C3041" s="4" t="s">
        <v>14</v>
      </c>
      <c r="D3041" s="4" t="s">
        <v>15</v>
      </c>
      <c r="E3041" s="5" t="str">
        <f>"9310192"</f>
        <v>9310192</v>
      </c>
      <c r="F3041" s="3" t="s">
        <v>9713</v>
      </c>
      <c r="G3041" s="5">
        <v>2492305056</v>
      </c>
      <c r="H3041" s="4" t="s">
        <v>9714</v>
      </c>
      <c r="I3041" s="4" t="s">
        <v>9456</v>
      </c>
      <c r="J3041" s="4" t="s">
        <v>9457</v>
      </c>
      <c r="K3041" s="4" t="s">
        <v>9715</v>
      </c>
      <c r="L3041" s="5">
        <v>40100</v>
      </c>
    </row>
    <row r="3042" spans="1:12" x14ac:dyDescent="0.25">
      <c r="A3042" s="3" t="s">
        <v>9197</v>
      </c>
      <c r="B3042" s="4" t="s">
        <v>9368</v>
      </c>
      <c r="C3042" s="4" t="s">
        <v>14</v>
      </c>
      <c r="D3042" s="4" t="s">
        <v>15</v>
      </c>
      <c r="E3042" s="5" t="str">
        <f>"9310191"</f>
        <v>9310191</v>
      </c>
      <c r="F3042" s="3" t="s">
        <v>9716</v>
      </c>
      <c r="G3042" s="5">
        <v>2492022655</v>
      </c>
      <c r="H3042" s="4" t="s">
        <v>9717</v>
      </c>
      <c r="I3042" s="4" t="s">
        <v>9456</v>
      </c>
      <c r="J3042" s="4" t="s">
        <v>9457</v>
      </c>
      <c r="K3042" s="4" t="s">
        <v>9681</v>
      </c>
      <c r="L3042" s="5">
        <v>40100</v>
      </c>
    </row>
    <row r="3043" spans="1:12" x14ac:dyDescent="0.25">
      <c r="A3043" s="3" t="s">
        <v>9197</v>
      </c>
      <c r="B3043" s="4" t="s">
        <v>9368</v>
      </c>
      <c r="C3043" s="4" t="s">
        <v>14</v>
      </c>
      <c r="D3043" s="4" t="s">
        <v>15</v>
      </c>
      <c r="E3043" s="5" t="str">
        <f>"9310018"</f>
        <v>9310018</v>
      </c>
      <c r="F3043" s="3" t="s">
        <v>9718</v>
      </c>
      <c r="G3043" s="5">
        <v>2493022376</v>
      </c>
      <c r="H3043" s="4" t="s">
        <v>9719</v>
      </c>
      <c r="I3043" s="4" t="s">
        <v>9521</v>
      </c>
      <c r="J3043" s="4" t="s">
        <v>9628</v>
      </c>
      <c r="K3043" s="4" t="s">
        <v>9720</v>
      </c>
      <c r="L3043" s="5">
        <v>40200</v>
      </c>
    </row>
    <row r="3044" spans="1:12" x14ac:dyDescent="0.25">
      <c r="A3044" s="3" t="s">
        <v>9197</v>
      </c>
      <c r="B3044" s="4" t="s">
        <v>9368</v>
      </c>
      <c r="C3044" s="4" t="s">
        <v>14</v>
      </c>
      <c r="D3044" s="4" t="s">
        <v>15</v>
      </c>
      <c r="E3044" s="5" t="str">
        <f>"9310218"</f>
        <v>9310218</v>
      </c>
      <c r="F3044" s="3" t="s">
        <v>9721</v>
      </c>
      <c r="G3044" s="5">
        <v>2410250043</v>
      </c>
      <c r="H3044" s="4" t="s">
        <v>9722</v>
      </c>
      <c r="I3044" s="4" t="s">
        <v>9371</v>
      </c>
      <c r="J3044" s="4" t="s">
        <v>9372</v>
      </c>
      <c r="K3044" s="4" t="s">
        <v>9672</v>
      </c>
      <c r="L3044" s="5">
        <v>41447</v>
      </c>
    </row>
    <row r="3045" spans="1:12" x14ac:dyDescent="0.25">
      <c r="A3045" s="3" t="s">
        <v>9197</v>
      </c>
      <c r="B3045" s="4" t="s">
        <v>9368</v>
      </c>
      <c r="C3045" s="4" t="s">
        <v>14</v>
      </c>
      <c r="D3045" s="4" t="s">
        <v>15</v>
      </c>
      <c r="E3045" s="5" t="str">
        <f>"9310020"</f>
        <v>9310020</v>
      </c>
      <c r="F3045" s="3" t="s">
        <v>9723</v>
      </c>
      <c r="G3045" s="5">
        <v>2493022076</v>
      </c>
      <c r="H3045" s="4" t="s">
        <v>9724</v>
      </c>
      <c r="I3045" s="4" t="s">
        <v>9521</v>
      </c>
      <c r="J3045" s="4" t="s">
        <v>9628</v>
      </c>
      <c r="K3045" s="4" t="s">
        <v>9725</v>
      </c>
      <c r="L3045" s="5">
        <v>40200</v>
      </c>
    </row>
    <row r="3046" spans="1:12" x14ac:dyDescent="0.25">
      <c r="A3046" s="3" t="s">
        <v>9197</v>
      </c>
      <c r="B3046" s="4" t="s">
        <v>9368</v>
      </c>
      <c r="C3046" s="4" t="s">
        <v>14</v>
      </c>
      <c r="D3046" s="4" t="s">
        <v>15</v>
      </c>
      <c r="E3046" s="5" t="str">
        <f>"9310025"</f>
        <v>9310025</v>
      </c>
      <c r="F3046" s="3" t="s">
        <v>9726</v>
      </c>
      <c r="G3046" s="5">
        <v>2493061208</v>
      </c>
      <c r="H3046" s="4" t="s">
        <v>9727</v>
      </c>
      <c r="I3046" s="4" t="s">
        <v>9521</v>
      </c>
      <c r="J3046" s="4" t="s">
        <v>9728</v>
      </c>
      <c r="K3046" s="4" t="s">
        <v>9729</v>
      </c>
      <c r="L3046" s="5">
        <v>40200</v>
      </c>
    </row>
    <row r="3047" spans="1:12" x14ac:dyDescent="0.25">
      <c r="A3047" s="3" t="s">
        <v>9197</v>
      </c>
      <c r="B3047" s="4" t="s">
        <v>9368</v>
      </c>
      <c r="C3047" s="4" t="s">
        <v>14</v>
      </c>
      <c r="D3047" s="4" t="s">
        <v>15</v>
      </c>
      <c r="E3047" s="5" t="str">
        <f>"9310040"</f>
        <v>9310040</v>
      </c>
      <c r="F3047" s="3" t="s">
        <v>9730</v>
      </c>
      <c r="G3047" s="5">
        <v>2493041172</v>
      </c>
      <c r="H3047" s="4" t="s">
        <v>9731</v>
      </c>
      <c r="I3047" s="4" t="s">
        <v>9521</v>
      </c>
      <c r="J3047" s="4" t="s">
        <v>9732</v>
      </c>
      <c r="K3047" s="4" t="s">
        <v>9732</v>
      </c>
      <c r="L3047" s="5">
        <v>40200</v>
      </c>
    </row>
    <row r="3048" spans="1:12" x14ac:dyDescent="0.25">
      <c r="A3048" s="3" t="s">
        <v>9197</v>
      </c>
      <c r="B3048" s="4" t="s">
        <v>9368</v>
      </c>
      <c r="C3048" s="4" t="s">
        <v>14</v>
      </c>
      <c r="D3048" s="4" t="s">
        <v>15</v>
      </c>
      <c r="E3048" s="5" t="str">
        <f>"9310451"</f>
        <v>9310451</v>
      </c>
      <c r="F3048" s="3" t="s">
        <v>9733</v>
      </c>
      <c r="G3048" s="5">
        <v>2410280989</v>
      </c>
      <c r="H3048" s="4" t="s">
        <v>9734</v>
      </c>
      <c r="I3048" s="4" t="s">
        <v>9371</v>
      </c>
      <c r="J3048" s="4" t="s">
        <v>9625</v>
      </c>
      <c r="K3048" s="4" t="s">
        <v>9558</v>
      </c>
      <c r="L3048" s="5">
        <v>41221</v>
      </c>
    </row>
    <row r="3049" spans="1:12" x14ac:dyDescent="0.25">
      <c r="A3049" s="3" t="s">
        <v>9197</v>
      </c>
      <c r="B3049" s="4" t="s">
        <v>9368</v>
      </c>
      <c r="C3049" s="4" t="s">
        <v>14</v>
      </c>
      <c r="D3049" s="4" t="s">
        <v>15</v>
      </c>
      <c r="E3049" s="5" t="str">
        <f>"9310271"</f>
        <v>9310271</v>
      </c>
      <c r="F3049" s="3" t="s">
        <v>9735</v>
      </c>
      <c r="G3049" s="5">
        <v>2491305056</v>
      </c>
      <c r="H3049" s="4" t="s">
        <v>9736</v>
      </c>
      <c r="I3049" s="4" t="s">
        <v>9476</v>
      </c>
      <c r="J3049" s="4" t="s">
        <v>9737</v>
      </c>
      <c r="K3049" s="4" t="s">
        <v>9738</v>
      </c>
      <c r="L3049" s="5">
        <v>40300</v>
      </c>
    </row>
    <row r="3050" spans="1:12" x14ac:dyDescent="0.25">
      <c r="A3050" s="3" t="s">
        <v>9197</v>
      </c>
      <c r="B3050" s="4" t="s">
        <v>9368</v>
      </c>
      <c r="C3050" s="4" t="s">
        <v>14</v>
      </c>
      <c r="D3050" s="4" t="s">
        <v>15</v>
      </c>
      <c r="E3050" s="5" t="str">
        <f>"9310016"</f>
        <v>9310016</v>
      </c>
      <c r="F3050" s="3" t="s">
        <v>9739</v>
      </c>
      <c r="G3050" s="5">
        <v>2493022403</v>
      </c>
      <c r="H3050" s="4" t="s">
        <v>9740</v>
      </c>
      <c r="I3050" s="4" t="s">
        <v>9521</v>
      </c>
      <c r="J3050" s="4" t="s">
        <v>9628</v>
      </c>
      <c r="K3050" s="4" t="s">
        <v>9741</v>
      </c>
      <c r="L3050" s="5">
        <v>40200</v>
      </c>
    </row>
    <row r="3051" spans="1:12" x14ac:dyDescent="0.25">
      <c r="A3051" s="3" t="s">
        <v>9197</v>
      </c>
      <c r="B3051" s="4" t="s">
        <v>9368</v>
      </c>
      <c r="C3051" s="4" t="s">
        <v>14</v>
      </c>
      <c r="D3051" s="4" t="s">
        <v>15</v>
      </c>
      <c r="E3051" s="5" t="str">
        <f>"9310069"</f>
        <v>9310069</v>
      </c>
      <c r="F3051" s="3" t="s">
        <v>9742</v>
      </c>
      <c r="G3051" s="5">
        <v>2493081204</v>
      </c>
      <c r="H3051" s="4" t="s">
        <v>9743</v>
      </c>
      <c r="I3051" s="4" t="s">
        <v>9521</v>
      </c>
      <c r="J3051" s="4" t="s">
        <v>9744</v>
      </c>
      <c r="K3051" s="4" t="s">
        <v>9745</v>
      </c>
      <c r="L3051" s="5">
        <v>40200</v>
      </c>
    </row>
    <row r="3052" spans="1:12" x14ac:dyDescent="0.25">
      <c r="A3052" s="3" t="s">
        <v>9197</v>
      </c>
      <c r="B3052" s="4" t="s">
        <v>9368</v>
      </c>
      <c r="C3052" s="4" t="s">
        <v>14</v>
      </c>
      <c r="D3052" s="4" t="s">
        <v>15</v>
      </c>
      <c r="E3052" s="5" t="str">
        <f>"9310431"</f>
        <v>9310431</v>
      </c>
      <c r="F3052" s="3" t="s">
        <v>9746</v>
      </c>
      <c r="G3052" s="5">
        <v>2410257845</v>
      </c>
      <c r="H3052" s="4" t="s">
        <v>9747</v>
      </c>
      <c r="I3052" s="4" t="s">
        <v>9371</v>
      </c>
      <c r="J3052" s="4" t="s">
        <v>9372</v>
      </c>
      <c r="K3052" s="4" t="s">
        <v>9650</v>
      </c>
      <c r="L3052" s="5">
        <v>41447</v>
      </c>
    </row>
    <row r="3053" spans="1:12" x14ac:dyDescent="0.25">
      <c r="A3053" s="3" t="s">
        <v>9197</v>
      </c>
      <c r="B3053" s="4" t="s">
        <v>9368</v>
      </c>
      <c r="C3053" s="4" t="s">
        <v>14</v>
      </c>
      <c r="D3053" s="4" t="s">
        <v>15</v>
      </c>
      <c r="E3053" s="5" t="str">
        <f>"9310241"</f>
        <v>9310241</v>
      </c>
      <c r="F3053" s="3" t="s">
        <v>9748</v>
      </c>
      <c r="G3053" s="5">
        <v>2495031240</v>
      </c>
      <c r="H3053" s="4" t="s">
        <v>9749</v>
      </c>
      <c r="I3053" s="4" t="s">
        <v>9409</v>
      </c>
      <c r="J3053" s="4" t="s">
        <v>9645</v>
      </c>
      <c r="K3053" s="4" t="s">
        <v>9750</v>
      </c>
      <c r="L3053" s="5">
        <v>40004</v>
      </c>
    </row>
    <row r="3054" spans="1:12" x14ac:dyDescent="0.25">
      <c r="A3054" s="3" t="s">
        <v>9197</v>
      </c>
      <c r="B3054" s="4" t="s">
        <v>9368</v>
      </c>
      <c r="C3054" s="4" t="s">
        <v>14</v>
      </c>
      <c r="D3054" s="4" t="s">
        <v>15</v>
      </c>
      <c r="E3054" s="5" t="str">
        <f>"9310465"</f>
        <v>9310465</v>
      </c>
      <c r="F3054" s="3" t="s">
        <v>9751</v>
      </c>
      <c r="G3054" s="5">
        <v>2410533552</v>
      </c>
      <c r="H3054" s="4" t="s">
        <v>9752</v>
      </c>
      <c r="I3054" s="4" t="s">
        <v>9371</v>
      </c>
      <c r="J3054" s="4" t="s">
        <v>9372</v>
      </c>
      <c r="K3054" s="4" t="s">
        <v>9672</v>
      </c>
      <c r="L3054" s="5">
        <v>41447</v>
      </c>
    </row>
    <row r="3055" spans="1:12" x14ac:dyDescent="0.25">
      <c r="A3055" s="3" t="s">
        <v>9197</v>
      </c>
      <c r="B3055" s="4" t="s">
        <v>9368</v>
      </c>
      <c r="C3055" s="4" t="s">
        <v>14</v>
      </c>
      <c r="D3055" s="4" t="s">
        <v>15</v>
      </c>
      <c r="E3055" s="5" t="str">
        <f>"9310238"</f>
        <v>9310238</v>
      </c>
      <c r="F3055" s="3" t="s">
        <v>9753</v>
      </c>
      <c r="G3055" s="5">
        <v>2492031283</v>
      </c>
      <c r="H3055" s="4" t="s">
        <v>9754</v>
      </c>
      <c r="I3055" s="4" t="s">
        <v>9456</v>
      </c>
      <c r="J3055" s="4" t="s">
        <v>9567</v>
      </c>
      <c r="K3055" s="4" t="s">
        <v>9755</v>
      </c>
      <c r="L3055" s="5">
        <v>40400</v>
      </c>
    </row>
    <row r="3056" spans="1:12" x14ac:dyDescent="0.25">
      <c r="A3056" s="3" t="s">
        <v>9197</v>
      </c>
      <c r="B3056" s="4" t="s">
        <v>9368</v>
      </c>
      <c r="C3056" s="4" t="s">
        <v>14</v>
      </c>
      <c r="D3056" s="4" t="s">
        <v>15</v>
      </c>
      <c r="E3056" s="5" t="str">
        <f>"9521669"</f>
        <v>9521669</v>
      </c>
      <c r="F3056" s="3" t="s">
        <v>9756</v>
      </c>
      <c r="G3056" s="5">
        <v>2410611122</v>
      </c>
      <c r="H3056" s="4" t="s">
        <v>9757</v>
      </c>
      <c r="I3056" s="4" t="s">
        <v>9371</v>
      </c>
      <c r="J3056" s="4" t="s">
        <v>9372</v>
      </c>
      <c r="K3056" s="4" t="s">
        <v>9758</v>
      </c>
      <c r="L3056" s="5">
        <v>41335</v>
      </c>
    </row>
    <row r="3057" spans="1:12" x14ac:dyDescent="0.25">
      <c r="A3057" s="3" t="s">
        <v>9197</v>
      </c>
      <c r="B3057" s="4" t="s">
        <v>9368</v>
      </c>
      <c r="C3057" s="4" t="s">
        <v>25</v>
      </c>
      <c r="D3057" s="4" t="s">
        <v>26</v>
      </c>
      <c r="E3057" s="5" t="str">
        <f>"9521709"</f>
        <v>9521709</v>
      </c>
      <c r="F3057" s="3" t="s">
        <v>9759</v>
      </c>
      <c r="G3057" s="5">
        <v>2410611612</v>
      </c>
      <c r="H3057" s="4" t="s">
        <v>9760</v>
      </c>
      <c r="I3057" s="4" t="s">
        <v>9371</v>
      </c>
      <c r="J3057" s="4" t="s">
        <v>9372</v>
      </c>
      <c r="K3057" s="4" t="s">
        <v>9761</v>
      </c>
      <c r="L3057" s="5">
        <v>41335</v>
      </c>
    </row>
    <row r="3058" spans="1:12" ht="30" x14ac:dyDescent="0.25">
      <c r="A3058" s="3" t="s">
        <v>9197</v>
      </c>
      <c r="B3058" s="4" t="s">
        <v>9762</v>
      </c>
      <c r="C3058" s="4" t="s">
        <v>14</v>
      </c>
      <c r="D3058" s="4" t="s">
        <v>15</v>
      </c>
      <c r="E3058" s="5" t="str">
        <f>"9350141"</f>
        <v>9350141</v>
      </c>
      <c r="F3058" s="3" t="s">
        <v>9763</v>
      </c>
      <c r="G3058" s="5">
        <v>2421085732</v>
      </c>
      <c r="H3058" s="4" t="s">
        <v>9764</v>
      </c>
      <c r="I3058" s="4" t="s">
        <v>9765</v>
      </c>
      <c r="J3058" s="4" t="s">
        <v>9766</v>
      </c>
      <c r="K3058" s="4" t="s">
        <v>9767</v>
      </c>
      <c r="L3058" s="5">
        <v>38445</v>
      </c>
    </row>
    <row r="3059" spans="1:12" x14ac:dyDescent="0.25">
      <c r="A3059" s="3" t="s">
        <v>9197</v>
      </c>
      <c r="B3059" s="4" t="s">
        <v>9762</v>
      </c>
      <c r="C3059" s="4" t="s">
        <v>14</v>
      </c>
      <c r="D3059" s="4" t="s">
        <v>15</v>
      </c>
      <c r="E3059" s="5" t="str">
        <f>"9350168"</f>
        <v>9350168</v>
      </c>
      <c r="F3059" s="3" t="s">
        <v>9768</v>
      </c>
      <c r="G3059" s="5">
        <v>2421085738</v>
      </c>
      <c r="H3059" s="4" t="s">
        <v>9769</v>
      </c>
      <c r="I3059" s="4" t="s">
        <v>9765</v>
      </c>
      <c r="J3059" s="4" t="s">
        <v>9770</v>
      </c>
      <c r="K3059" s="4" t="s">
        <v>9771</v>
      </c>
      <c r="L3059" s="5">
        <v>38445</v>
      </c>
    </row>
    <row r="3060" spans="1:12" x14ac:dyDescent="0.25">
      <c r="A3060" s="3" t="s">
        <v>9197</v>
      </c>
      <c r="B3060" s="4" t="s">
        <v>9762</v>
      </c>
      <c r="C3060" s="4" t="s">
        <v>25</v>
      </c>
      <c r="D3060" s="4" t="s">
        <v>26</v>
      </c>
      <c r="E3060" s="5" t="str">
        <f>"9350162"</f>
        <v>9350162</v>
      </c>
      <c r="F3060" s="3" t="s">
        <v>9772</v>
      </c>
      <c r="G3060" s="5">
        <v>2422022175</v>
      </c>
      <c r="H3060" s="4" t="s">
        <v>9773</v>
      </c>
      <c r="I3060" s="4" t="s">
        <v>9774</v>
      </c>
      <c r="J3060" s="4" t="s">
        <v>9774</v>
      </c>
      <c r="K3060" s="4" t="s">
        <v>9775</v>
      </c>
      <c r="L3060" s="5">
        <v>37100</v>
      </c>
    </row>
    <row r="3061" spans="1:12" x14ac:dyDescent="0.25">
      <c r="A3061" s="3" t="s">
        <v>9197</v>
      </c>
      <c r="B3061" s="4" t="s">
        <v>9762</v>
      </c>
      <c r="C3061" s="4" t="s">
        <v>25</v>
      </c>
      <c r="D3061" s="4" t="s">
        <v>26</v>
      </c>
      <c r="E3061" s="5" t="str">
        <f>"9350112"</f>
        <v>9350112</v>
      </c>
      <c r="F3061" s="3" t="s">
        <v>9776</v>
      </c>
      <c r="G3061" s="5">
        <v>2422023790</v>
      </c>
      <c r="H3061" s="4" t="s">
        <v>9777</v>
      </c>
      <c r="I3061" s="4" t="s">
        <v>9774</v>
      </c>
      <c r="J3061" s="4" t="s">
        <v>9774</v>
      </c>
      <c r="K3061" s="4" t="s">
        <v>9778</v>
      </c>
      <c r="L3061" s="5">
        <v>37100</v>
      </c>
    </row>
    <row r="3062" spans="1:12" x14ac:dyDescent="0.25">
      <c r="A3062" s="3" t="s">
        <v>9197</v>
      </c>
      <c r="B3062" s="4" t="s">
        <v>9762</v>
      </c>
      <c r="C3062" s="4" t="s">
        <v>25</v>
      </c>
      <c r="D3062" s="4" t="s">
        <v>26</v>
      </c>
      <c r="E3062" s="5" t="str">
        <f>"9350250"</f>
        <v>9350250</v>
      </c>
      <c r="F3062" s="3" t="s">
        <v>9779</v>
      </c>
      <c r="G3062" s="5">
        <v>2422021659</v>
      </c>
      <c r="H3062" s="4" t="s">
        <v>9780</v>
      </c>
      <c r="I3062" s="4" t="s">
        <v>9774</v>
      </c>
      <c r="J3062" s="4" t="s">
        <v>9774</v>
      </c>
      <c r="K3062" s="4" t="s">
        <v>9781</v>
      </c>
      <c r="L3062" s="5">
        <v>37100</v>
      </c>
    </row>
    <row r="3063" spans="1:12" x14ac:dyDescent="0.25">
      <c r="A3063" s="3" t="s">
        <v>9197</v>
      </c>
      <c r="B3063" s="4" t="s">
        <v>9762</v>
      </c>
      <c r="C3063" s="4" t="s">
        <v>14</v>
      </c>
      <c r="D3063" s="4" t="s">
        <v>15</v>
      </c>
      <c r="E3063" s="5" t="str">
        <f>"9350071"</f>
        <v>9350071</v>
      </c>
      <c r="F3063" s="3" t="s">
        <v>9782</v>
      </c>
      <c r="G3063" s="5">
        <v>2421072371</v>
      </c>
      <c r="H3063" s="4" t="s">
        <v>9783</v>
      </c>
      <c r="I3063" s="4" t="s">
        <v>9765</v>
      </c>
      <c r="J3063" s="4" t="s">
        <v>9784</v>
      </c>
      <c r="K3063" s="4" t="s">
        <v>9785</v>
      </c>
      <c r="L3063" s="5">
        <v>38500</v>
      </c>
    </row>
    <row r="3064" spans="1:12" x14ac:dyDescent="0.25">
      <c r="A3064" s="3" t="s">
        <v>9197</v>
      </c>
      <c r="B3064" s="4" t="s">
        <v>9762</v>
      </c>
      <c r="C3064" s="4" t="s">
        <v>25</v>
      </c>
      <c r="D3064" s="4" t="s">
        <v>26</v>
      </c>
      <c r="E3064" s="5" t="str">
        <f>"9350156"</f>
        <v>9350156</v>
      </c>
      <c r="F3064" s="3" t="s">
        <v>9786</v>
      </c>
      <c r="G3064" s="5">
        <v>2421058974</v>
      </c>
      <c r="H3064" s="4" t="s">
        <v>9787</v>
      </c>
      <c r="I3064" s="4" t="s">
        <v>9765</v>
      </c>
      <c r="J3064" s="4" t="s">
        <v>9765</v>
      </c>
      <c r="K3064" s="4" t="s">
        <v>9788</v>
      </c>
      <c r="L3064" s="5">
        <v>38222</v>
      </c>
    </row>
    <row r="3065" spans="1:12" x14ac:dyDescent="0.25">
      <c r="A3065" s="3" t="s">
        <v>9197</v>
      </c>
      <c r="B3065" s="4" t="s">
        <v>9762</v>
      </c>
      <c r="C3065" s="4" t="s">
        <v>14</v>
      </c>
      <c r="D3065" s="4" t="s">
        <v>15</v>
      </c>
      <c r="E3065" s="5" t="str">
        <f>"9350060"</f>
        <v>9350060</v>
      </c>
      <c r="F3065" s="3" t="s">
        <v>9789</v>
      </c>
      <c r="G3065" s="5">
        <v>2421085731</v>
      </c>
      <c r="H3065" s="4" t="s">
        <v>9790</v>
      </c>
      <c r="I3065" s="4" t="s">
        <v>9765</v>
      </c>
      <c r="J3065" s="4" t="s">
        <v>9784</v>
      </c>
      <c r="K3065" s="4" t="s">
        <v>9791</v>
      </c>
      <c r="L3065" s="5">
        <v>38334</v>
      </c>
    </row>
    <row r="3066" spans="1:12" x14ac:dyDescent="0.25">
      <c r="A3066" s="3" t="s">
        <v>9197</v>
      </c>
      <c r="B3066" s="4" t="s">
        <v>9762</v>
      </c>
      <c r="C3066" s="4" t="s">
        <v>25</v>
      </c>
      <c r="D3066" s="4" t="s">
        <v>26</v>
      </c>
      <c r="E3066" s="5" t="str">
        <f>"9350172"</f>
        <v>9350172</v>
      </c>
      <c r="F3066" s="3" t="s">
        <v>9792</v>
      </c>
      <c r="G3066" s="5">
        <v>2421058701</v>
      </c>
      <c r="H3066" s="4" t="s">
        <v>9793</v>
      </c>
      <c r="I3066" s="4" t="s">
        <v>9765</v>
      </c>
      <c r="J3066" s="4" t="s">
        <v>9765</v>
      </c>
      <c r="K3066" s="4" t="s">
        <v>9794</v>
      </c>
      <c r="L3066" s="5">
        <v>38222</v>
      </c>
    </row>
    <row r="3067" spans="1:12" x14ac:dyDescent="0.25">
      <c r="A3067" s="3" t="s">
        <v>9197</v>
      </c>
      <c r="B3067" s="4" t="s">
        <v>9762</v>
      </c>
      <c r="C3067" s="4" t="s">
        <v>25</v>
      </c>
      <c r="D3067" s="4" t="s">
        <v>26</v>
      </c>
      <c r="E3067" s="5" t="str">
        <f>"9350247"</f>
        <v>9350247</v>
      </c>
      <c r="F3067" s="3" t="s">
        <v>9795</v>
      </c>
      <c r="G3067" s="5">
        <v>2421072200</v>
      </c>
      <c r="H3067" s="4" t="s">
        <v>9796</v>
      </c>
      <c r="I3067" s="4" t="s">
        <v>9765</v>
      </c>
      <c r="J3067" s="4" t="s">
        <v>9765</v>
      </c>
      <c r="K3067" s="4" t="s">
        <v>9797</v>
      </c>
      <c r="L3067" s="5">
        <v>38221</v>
      </c>
    </row>
    <row r="3068" spans="1:12" x14ac:dyDescent="0.25">
      <c r="A3068" s="3" t="s">
        <v>9197</v>
      </c>
      <c r="B3068" s="4" t="s">
        <v>9762</v>
      </c>
      <c r="C3068" s="4" t="s">
        <v>25</v>
      </c>
      <c r="D3068" s="4" t="s">
        <v>26</v>
      </c>
      <c r="E3068" s="5" t="str">
        <f>"9350269"</f>
        <v>9350269</v>
      </c>
      <c r="F3068" s="3" t="s">
        <v>9798</v>
      </c>
      <c r="G3068" s="5">
        <v>2421071212</v>
      </c>
      <c r="H3068" s="4" t="s">
        <v>9799</v>
      </c>
      <c r="I3068" s="4" t="s">
        <v>9765</v>
      </c>
      <c r="J3068" s="4" t="s">
        <v>9765</v>
      </c>
      <c r="K3068" s="4" t="s">
        <v>9800</v>
      </c>
      <c r="L3068" s="5">
        <v>38222</v>
      </c>
    </row>
    <row r="3069" spans="1:12" x14ac:dyDescent="0.25">
      <c r="A3069" s="3" t="s">
        <v>9197</v>
      </c>
      <c r="B3069" s="4" t="s">
        <v>9762</v>
      </c>
      <c r="C3069" s="4" t="s">
        <v>14</v>
      </c>
      <c r="D3069" s="4" t="s">
        <v>15</v>
      </c>
      <c r="E3069" s="5" t="str">
        <f>"9350135"</f>
        <v>9350135</v>
      </c>
      <c r="F3069" s="3" t="s">
        <v>9801</v>
      </c>
      <c r="G3069" s="5">
        <v>2422041256</v>
      </c>
      <c r="H3069" s="4" t="s">
        <v>9802</v>
      </c>
      <c r="I3069" s="4" t="s">
        <v>9774</v>
      </c>
      <c r="J3069" s="4" t="s">
        <v>9803</v>
      </c>
      <c r="K3069" s="4" t="s">
        <v>9804</v>
      </c>
      <c r="L3069" s="5">
        <v>37008</v>
      </c>
    </row>
    <row r="3070" spans="1:12" x14ac:dyDescent="0.25">
      <c r="A3070" s="3" t="s">
        <v>9197</v>
      </c>
      <c r="B3070" s="4" t="s">
        <v>9762</v>
      </c>
      <c r="C3070" s="4" t="s">
        <v>14</v>
      </c>
      <c r="D3070" s="4" t="s">
        <v>15</v>
      </c>
      <c r="E3070" s="5" t="str">
        <f>"9350058"</f>
        <v>9350058</v>
      </c>
      <c r="F3070" s="3" t="s">
        <v>9805</v>
      </c>
      <c r="G3070" s="5">
        <v>2421072369</v>
      </c>
      <c r="H3070" s="4" t="s">
        <v>9806</v>
      </c>
      <c r="I3070" s="4" t="s">
        <v>9765</v>
      </c>
      <c r="J3070" s="4" t="s">
        <v>9784</v>
      </c>
      <c r="K3070" s="4" t="s">
        <v>9807</v>
      </c>
      <c r="L3070" s="5">
        <v>38333</v>
      </c>
    </row>
    <row r="3071" spans="1:12" x14ac:dyDescent="0.25">
      <c r="A3071" s="3" t="s">
        <v>9197</v>
      </c>
      <c r="B3071" s="4" t="s">
        <v>9762</v>
      </c>
      <c r="C3071" s="4" t="s">
        <v>14</v>
      </c>
      <c r="D3071" s="4" t="s">
        <v>15</v>
      </c>
      <c r="E3071" s="5" t="str">
        <f>"9350148"</f>
        <v>9350148</v>
      </c>
      <c r="F3071" s="3" t="s">
        <v>9808</v>
      </c>
      <c r="G3071" s="5">
        <v>2421085742</v>
      </c>
      <c r="H3071" s="4" t="s">
        <v>9809</v>
      </c>
      <c r="I3071" s="4" t="s">
        <v>9765</v>
      </c>
      <c r="J3071" s="4" t="s">
        <v>9810</v>
      </c>
      <c r="K3071" s="4" t="s">
        <v>9811</v>
      </c>
      <c r="L3071" s="5">
        <v>38500</v>
      </c>
    </row>
    <row r="3072" spans="1:12" x14ac:dyDescent="0.25">
      <c r="A3072" s="3" t="s">
        <v>9197</v>
      </c>
      <c r="B3072" s="4" t="s">
        <v>9762</v>
      </c>
      <c r="C3072" s="4" t="s">
        <v>14</v>
      </c>
      <c r="D3072" s="4" t="s">
        <v>15</v>
      </c>
      <c r="E3072" s="5" t="str">
        <f>"9350248"</f>
        <v>9350248</v>
      </c>
      <c r="F3072" s="3" t="s">
        <v>9812</v>
      </c>
      <c r="G3072" s="5">
        <v>2428078456</v>
      </c>
      <c r="H3072" s="4" t="s">
        <v>9813</v>
      </c>
      <c r="I3072" s="4" t="s">
        <v>9765</v>
      </c>
      <c r="J3072" s="4" t="s">
        <v>9814</v>
      </c>
      <c r="K3072" s="4" t="s">
        <v>9815</v>
      </c>
      <c r="L3072" s="5">
        <v>37400</v>
      </c>
    </row>
    <row r="3073" spans="1:12" x14ac:dyDescent="0.25">
      <c r="A3073" s="3" t="s">
        <v>9197</v>
      </c>
      <c r="B3073" s="4" t="s">
        <v>9762</v>
      </c>
      <c r="C3073" s="4" t="s">
        <v>25</v>
      </c>
      <c r="D3073" s="4" t="s">
        <v>26</v>
      </c>
      <c r="E3073" s="5" t="str">
        <f>"9350170"</f>
        <v>9350170</v>
      </c>
      <c r="F3073" s="3" t="s">
        <v>9816</v>
      </c>
      <c r="G3073" s="5">
        <v>2421038094</v>
      </c>
      <c r="H3073" s="4" t="s">
        <v>9817</v>
      </c>
      <c r="I3073" s="4" t="s">
        <v>9765</v>
      </c>
      <c r="J3073" s="4" t="s">
        <v>9765</v>
      </c>
      <c r="K3073" s="4" t="s">
        <v>9818</v>
      </c>
      <c r="L3073" s="5">
        <v>38221</v>
      </c>
    </row>
    <row r="3074" spans="1:12" x14ac:dyDescent="0.25">
      <c r="A3074" s="3" t="s">
        <v>9197</v>
      </c>
      <c r="B3074" s="4" t="s">
        <v>9762</v>
      </c>
      <c r="C3074" s="4" t="s">
        <v>14</v>
      </c>
      <c r="D3074" s="4" t="s">
        <v>15</v>
      </c>
      <c r="E3074" s="5" t="str">
        <f>"9350065"</f>
        <v>9350065</v>
      </c>
      <c r="F3074" s="3" t="s">
        <v>9819</v>
      </c>
      <c r="G3074" s="5">
        <v>2421039562</v>
      </c>
      <c r="H3074" s="4" t="s">
        <v>9820</v>
      </c>
      <c r="I3074" s="4" t="s">
        <v>9765</v>
      </c>
      <c r="J3074" s="4" t="s">
        <v>9784</v>
      </c>
      <c r="K3074" s="4" t="s">
        <v>9821</v>
      </c>
      <c r="L3074" s="5">
        <v>38334</v>
      </c>
    </row>
    <row r="3075" spans="1:12" x14ac:dyDescent="0.25">
      <c r="A3075" s="3" t="s">
        <v>9197</v>
      </c>
      <c r="B3075" s="4" t="s">
        <v>9762</v>
      </c>
      <c r="C3075" s="4" t="s">
        <v>14</v>
      </c>
      <c r="D3075" s="4" t="s">
        <v>15</v>
      </c>
      <c r="E3075" s="5" t="str">
        <f>"9350114"</f>
        <v>9350114</v>
      </c>
      <c r="F3075" s="3" t="s">
        <v>9822</v>
      </c>
      <c r="G3075" s="5">
        <v>2422021855</v>
      </c>
      <c r="H3075" s="4" t="s">
        <v>9823</v>
      </c>
      <c r="I3075" s="4" t="s">
        <v>9774</v>
      </c>
      <c r="J3075" s="4" t="s">
        <v>9824</v>
      </c>
      <c r="K3075" s="4" t="s">
        <v>9825</v>
      </c>
      <c r="L3075" s="5">
        <v>37100</v>
      </c>
    </row>
    <row r="3076" spans="1:12" x14ac:dyDescent="0.25">
      <c r="A3076" s="3" t="s">
        <v>9197</v>
      </c>
      <c r="B3076" s="4" t="s">
        <v>9762</v>
      </c>
      <c r="C3076" s="4" t="s">
        <v>14</v>
      </c>
      <c r="D3076" s="4" t="s">
        <v>15</v>
      </c>
      <c r="E3076" s="5" t="str">
        <f>"9350007"</f>
        <v>9350007</v>
      </c>
      <c r="F3076" s="3" t="s">
        <v>9826</v>
      </c>
      <c r="G3076" s="5">
        <v>2421039558</v>
      </c>
      <c r="H3076" s="4" t="s">
        <v>9827</v>
      </c>
      <c r="I3076" s="4" t="s">
        <v>9765</v>
      </c>
      <c r="J3076" s="4" t="s">
        <v>9784</v>
      </c>
      <c r="K3076" s="4" t="s">
        <v>9828</v>
      </c>
      <c r="L3076" s="5">
        <v>38222</v>
      </c>
    </row>
    <row r="3077" spans="1:12" x14ac:dyDescent="0.25">
      <c r="A3077" s="3" t="s">
        <v>9197</v>
      </c>
      <c r="B3077" s="4" t="s">
        <v>9762</v>
      </c>
      <c r="C3077" s="4" t="s">
        <v>14</v>
      </c>
      <c r="D3077" s="4" t="s">
        <v>15</v>
      </c>
      <c r="E3077" s="5" t="str">
        <f>"9350003"</f>
        <v>9350003</v>
      </c>
      <c r="F3077" s="3" t="s">
        <v>9829</v>
      </c>
      <c r="G3077" s="5">
        <v>2421054150</v>
      </c>
      <c r="H3077" s="4" t="s">
        <v>9830</v>
      </c>
      <c r="I3077" s="4" t="s">
        <v>9765</v>
      </c>
      <c r="J3077" s="4" t="s">
        <v>9784</v>
      </c>
      <c r="K3077" s="4" t="s">
        <v>9831</v>
      </c>
      <c r="L3077" s="5">
        <v>38222</v>
      </c>
    </row>
    <row r="3078" spans="1:12" x14ac:dyDescent="0.25">
      <c r="A3078" s="3" t="s">
        <v>9197</v>
      </c>
      <c r="B3078" s="4" t="s">
        <v>9762</v>
      </c>
      <c r="C3078" s="4" t="s">
        <v>14</v>
      </c>
      <c r="D3078" s="4" t="s">
        <v>15</v>
      </c>
      <c r="E3078" s="5" t="str">
        <f>"9350291"</f>
        <v>9350291</v>
      </c>
      <c r="F3078" s="3" t="s">
        <v>9832</v>
      </c>
      <c r="G3078" s="5">
        <v>2421038210</v>
      </c>
      <c r="H3078" s="4" t="s">
        <v>9833</v>
      </c>
      <c r="I3078" s="4" t="s">
        <v>9765</v>
      </c>
      <c r="J3078" s="4" t="s">
        <v>9784</v>
      </c>
      <c r="K3078" s="4" t="s">
        <v>9834</v>
      </c>
      <c r="L3078" s="5">
        <v>38333</v>
      </c>
    </row>
    <row r="3079" spans="1:12" x14ac:dyDescent="0.25">
      <c r="A3079" s="3" t="s">
        <v>9197</v>
      </c>
      <c r="B3079" s="4" t="s">
        <v>9762</v>
      </c>
      <c r="C3079" s="4" t="s">
        <v>25</v>
      </c>
      <c r="D3079" s="4" t="s">
        <v>26</v>
      </c>
      <c r="E3079" s="5" t="str">
        <f>"9350139"</f>
        <v>9350139</v>
      </c>
      <c r="F3079" s="3" t="s">
        <v>9835</v>
      </c>
      <c r="G3079" s="5">
        <v>2421085746</v>
      </c>
      <c r="H3079" s="4" t="s">
        <v>9836</v>
      </c>
      <c r="I3079" s="4" t="s">
        <v>9765</v>
      </c>
      <c r="J3079" s="4" t="s">
        <v>9837</v>
      </c>
      <c r="K3079" s="4" t="s">
        <v>9838</v>
      </c>
      <c r="L3079" s="5">
        <v>38445</v>
      </c>
    </row>
    <row r="3080" spans="1:12" x14ac:dyDescent="0.25">
      <c r="A3080" s="3" t="s">
        <v>9197</v>
      </c>
      <c r="B3080" s="4" t="s">
        <v>9762</v>
      </c>
      <c r="C3080" s="4" t="s">
        <v>14</v>
      </c>
      <c r="D3080" s="4" t="s">
        <v>15</v>
      </c>
      <c r="E3080" s="5" t="str">
        <f>"9350009"</f>
        <v>9350009</v>
      </c>
      <c r="F3080" s="3" t="s">
        <v>9839</v>
      </c>
      <c r="G3080" s="5">
        <v>2421039517</v>
      </c>
      <c r="H3080" s="4" t="s">
        <v>9840</v>
      </c>
      <c r="I3080" s="4" t="s">
        <v>9765</v>
      </c>
      <c r="J3080" s="4" t="s">
        <v>9841</v>
      </c>
      <c r="K3080" s="4" t="s">
        <v>9842</v>
      </c>
      <c r="L3080" s="5">
        <v>38221</v>
      </c>
    </row>
    <row r="3081" spans="1:12" x14ac:dyDescent="0.25">
      <c r="A3081" s="3" t="s">
        <v>9197</v>
      </c>
      <c r="B3081" s="4" t="s">
        <v>9762</v>
      </c>
      <c r="C3081" s="4" t="s">
        <v>14</v>
      </c>
      <c r="D3081" s="4" t="s">
        <v>15</v>
      </c>
      <c r="E3081" s="5" t="str">
        <f>"9350223"</f>
        <v>9350223</v>
      </c>
      <c r="F3081" s="3" t="s">
        <v>9843</v>
      </c>
      <c r="G3081" s="5">
        <v>2421070156</v>
      </c>
      <c r="H3081" s="4" t="s">
        <v>9844</v>
      </c>
      <c r="I3081" s="4" t="s">
        <v>9765</v>
      </c>
      <c r="J3081" s="4" t="s">
        <v>9784</v>
      </c>
      <c r="K3081" s="4" t="s">
        <v>9845</v>
      </c>
      <c r="L3081" s="5">
        <v>38221</v>
      </c>
    </row>
    <row r="3082" spans="1:12" x14ac:dyDescent="0.25">
      <c r="A3082" s="3" t="s">
        <v>9197</v>
      </c>
      <c r="B3082" s="4" t="s">
        <v>9762</v>
      </c>
      <c r="C3082" s="4" t="s">
        <v>25</v>
      </c>
      <c r="D3082" s="4" t="s">
        <v>26</v>
      </c>
      <c r="E3082" s="5" t="str">
        <f>"9350187"</f>
        <v>9350187</v>
      </c>
      <c r="F3082" s="3" t="s">
        <v>9846</v>
      </c>
      <c r="G3082" s="5">
        <v>2421085749</v>
      </c>
      <c r="H3082" s="4" t="s">
        <v>9847</v>
      </c>
      <c r="I3082" s="4" t="s">
        <v>9765</v>
      </c>
      <c r="J3082" s="4" t="s">
        <v>3257</v>
      </c>
      <c r="K3082" s="4" t="s">
        <v>9848</v>
      </c>
      <c r="L3082" s="5">
        <v>38445</v>
      </c>
    </row>
    <row r="3083" spans="1:12" x14ac:dyDescent="0.25">
      <c r="A3083" s="3" t="s">
        <v>9197</v>
      </c>
      <c r="B3083" s="4" t="s">
        <v>9762</v>
      </c>
      <c r="C3083" s="4" t="s">
        <v>25</v>
      </c>
      <c r="D3083" s="4" t="s">
        <v>26</v>
      </c>
      <c r="E3083" s="5" t="str">
        <f>"9350074"</f>
        <v>9350074</v>
      </c>
      <c r="F3083" s="3" t="s">
        <v>9849</v>
      </c>
      <c r="G3083" s="5">
        <v>2421072387</v>
      </c>
      <c r="H3083" s="4" t="s">
        <v>9850</v>
      </c>
      <c r="I3083" s="4" t="s">
        <v>9765</v>
      </c>
      <c r="J3083" s="4" t="s">
        <v>9765</v>
      </c>
      <c r="K3083" s="4" t="s">
        <v>9851</v>
      </c>
      <c r="L3083" s="5">
        <v>38221</v>
      </c>
    </row>
    <row r="3084" spans="1:12" x14ac:dyDescent="0.25">
      <c r="A3084" s="3" t="s">
        <v>9197</v>
      </c>
      <c r="B3084" s="4" t="s">
        <v>9762</v>
      </c>
      <c r="C3084" s="4" t="s">
        <v>25</v>
      </c>
      <c r="D3084" s="4" t="s">
        <v>26</v>
      </c>
      <c r="E3084" s="5" t="str">
        <f>"9350228"</f>
        <v>9350228</v>
      </c>
      <c r="F3084" s="3" t="s">
        <v>9852</v>
      </c>
      <c r="G3084" s="5">
        <v>2421350305</v>
      </c>
      <c r="H3084" s="4" t="s">
        <v>9853</v>
      </c>
      <c r="I3084" s="4" t="s">
        <v>9765</v>
      </c>
      <c r="J3084" s="4" t="s">
        <v>9765</v>
      </c>
      <c r="K3084" s="4" t="s">
        <v>9854</v>
      </c>
      <c r="L3084" s="5">
        <v>38221</v>
      </c>
    </row>
    <row r="3085" spans="1:12" x14ac:dyDescent="0.25">
      <c r="A3085" s="3" t="s">
        <v>9197</v>
      </c>
      <c r="B3085" s="4" t="s">
        <v>9762</v>
      </c>
      <c r="C3085" s="4" t="s">
        <v>25</v>
      </c>
      <c r="D3085" s="4" t="s">
        <v>26</v>
      </c>
      <c r="E3085" s="5" t="str">
        <f>"9350169"</f>
        <v>9350169</v>
      </c>
      <c r="F3085" s="3" t="s">
        <v>9855</v>
      </c>
      <c r="G3085" s="5">
        <v>2421032925</v>
      </c>
      <c r="H3085" s="4" t="s">
        <v>9856</v>
      </c>
      <c r="I3085" s="4" t="s">
        <v>9765</v>
      </c>
      <c r="J3085" s="4" t="s">
        <v>9765</v>
      </c>
      <c r="K3085" s="4" t="s">
        <v>9857</v>
      </c>
      <c r="L3085" s="5">
        <v>38221</v>
      </c>
    </row>
    <row r="3086" spans="1:12" x14ac:dyDescent="0.25">
      <c r="A3086" s="3" t="s">
        <v>9197</v>
      </c>
      <c r="B3086" s="4" t="s">
        <v>9762</v>
      </c>
      <c r="C3086" s="4" t="s">
        <v>14</v>
      </c>
      <c r="D3086" s="4" t="s">
        <v>15</v>
      </c>
      <c r="E3086" s="5" t="str">
        <f>"9350237"</f>
        <v>9350237</v>
      </c>
      <c r="F3086" s="3" t="s">
        <v>9858</v>
      </c>
      <c r="G3086" s="5">
        <v>2422021222</v>
      </c>
      <c r="H3086" s="4" t="s">
        <v>9859</v>
      </c>
      <c r="I3086" s="4" t="s">
        <v>9774</v>
      </c>
      <c r="J3086" s="4" t="s">
        <v>9824</v>
      </c>
      <c r="K3086" s="4" t="s">
        <v>9860</v>
      </c>
      <c r="L3086" s="5">
        <v>37100</v>
      </c>
    </row>
    <row r="3087" spans="1:12" x14ac:dyDescent="0.25">
      <c r="A3087" s="3" t="s">
        <v>9197</v>
      </c>
      <c r="B3087" s="4" t="s">
        <v>9762</v>
      </c>
      <c r="C3087" s="4" t="s">
        <v>25</v>
      </c>
      <c r="D3087" s="4" t="s">
        <v>26</v>
      </c>
      <c r="E3087" s="5" t="str">
        <f>"9350061"</f>
        <v>9350061</v>
      </c>
      <c r="F3087" s="3" t="s">
        <v>9861</v>
      </c>
      <c r="G3087" s="5">
        <v>2421072384</v>
      </c>
      <c r="H3087" s="4" t="s">
        <v>9862</v>
      </c>
      <c r="I3087" s="4" t="s">
        <v>9765</v>
      </c>
      <c r="J3087" s="4" t="s">
        <v>9765</v>
      </c>
      <c r="K3087" s="4" t="s">
        <v>9863</v>
      </c>
      <c r="L3087" s="5">
        <v>38221</v>
      </c>
    </row>
    <row r="3088" spans="1:12" x14ac:dyDescent="0.25">
      <c r="A3088" s="3" t="s">
        <v>9197</v>
      </c>
      <c r="B3088" s="4" t="s">
        <v>9762</v>
      </c>
      <c r="C3088" s="4" t="s">
        <v>14</v>
      </c>
      <c r="D3088" s="4" t="s">
        <v>15</v>
      </c>
      <c r="E3088" s="5" t="str">
        <f>"9350054"</f>
        <v>9350054</v>
      </c>
      <c r="F3088" s="3" t="s">
        <v>9864</v>
      </c>
      <c r="G3088" s="5">
        <v>2421039578</v>
      </c>
      <c r="H3088" s="4" t="s">
        <v>9865</v>
      </c>
      <c r="I3088" s="4" t="s">
        <v>9765</v>
      </c>
      <c r="J3088" s="4" t="s">
        <v>9784</v>
      </c>
      <c r="K3088" s="4" t="s">
        <v>9866</v>
      </c>
      <c r="L3088" s="5">
        <v>38333</v>
      </c>
    </row>
    <row r="3089" spans="1:12" x14ac:dyDescent="0.25">
      <c r="A3089" s="3" t="s">
        <v>9197</v>
      </c>
      <c r="B3089" s="4" t="s">
        <v>9762</v>
      </c>
      <c r="C3089" s="4" t="s">
        <v>25</v>
      </c>
      <c r="D3089" s="4" t="s">
        <v>26</v>
      </c>
      <c r="E3089" s="5" t="str">
        <f>"9350274"</f>
        <v>9350274</v>
      </c>
      <c r="F3089" s="3" t="s">
        <v>9867</v>
      </c>
      <c r="G3089" s="5">
        <v>2421078322</v>
      </c>
      <c r="H3089" s="4" t="s">
        <v>9868</v>
      </c>
      <c r="I3089" s="4" t="s">
        <v>9765</v>
      </c>
      <c r="J3089" s="4" t="s">
        <v>9765</v>
      </c>
      <c r="K3089" s="4" t="s">
        <v>9869</v>
      </c>
      <c r="L3089" s="5">
        <v>38221</v>
      </c>
    </row>
    <row r="3090" spans="1:12" x14ac:dyDescent="0.25">
      <c r="A3090" s="3" t="s">
        <v>9197</v>
      </c>
      <c r="B3090" s="4" t="s">
        <v>9762</v>
      </c>
      <c r="C3090" s="4" t="s">
        <v>25</v>
      </c>
      <c r="D3090" s="4" t="s">
        <v>26</v>
      </c>
      <c r="E3090" s="5" t="str">
        <f>"9350294"</f>
        <v>9350294</v>
      </c>
      <c r="F3090" s="3" t="s">
        <v>9870</v>
      </c>
      <c r="G3090" s="5">
        <v>2428076778</v>
      </c>
      <c r="H3090" s="4" t="s">
        <v>9871</v>
      </c>
      <c r="I3090" s="4" t="s">
        <v>9765</v>
      </c>
      <c r="J3090" s="4" t="s">
        <v>9814</v>
      </c>
      <c r="K3090" s="4" t="s">
        <v>9872</v>
      </c>
      <c r="L3090" s="5">
        <v>37400</v>
      </c>
    </row>
    <row r="3091" spans="1:12" x14ac:dyDescent="0.25">
      <c r="A3091" s="3" t="s">
        <v>9197</v>
      </c>
      <c r="B3091" s="4" t="s">
        <v>9762</v>
      </c>
      <c r="C3091" s="4" t="s">
        <v>14</v>
      </c>
      <c r="D3091" s="4" t="s">
        <v>15</v>
      </c>
      <c r="E3091" s="5" t="str">
        <f>"9350144"</f>
        <v>9350144</v>
      </c>
      <c r="F3091" s="3" t="s">
        <v>9873</v>
      </c>
      <c r="G3091" s="5">
        <v>2421085728</v>
      </c>
      <c r="H3091" s="4" t="s">
        <v>9874</v>
      </c>
      <c r="I3091" s="4" t="s">
        <v>9765</v>
      </c>
      <c r="J3091" s="4" t="s">
        <v>9766</v>
      </c>
      <c r="K3091" s="4" t="s">
        <v>9875</v>
      </c>
      <c r="L3091" s="5">
        <v>38446</v>
      </c>
    </row>
    <row r="3092" spans="1:12" x14ac:dyDescent="0.25">
      <c r="A3092" s="3" t="s">
        <v>9197</v>
      </c>
      <c r="B3092" s="4" t="s">
        <v>9762</v>
      </c>
      <c r="C3092" s="4" t="s">
        <v>25</v>
      </c>
      <c r="D3092" s="4" t="s">
        <v>26</v>
      </c>
      <c r="E3092" s="5" t="str">
        <f>"9350293"</f>
        <v>9350293</v>
      </c>
      <c r="F3092" s="3" t="s">
        <v>9876</v>
      </c>
      <c r="G3092" s="5">
        <v>2428077176</v>
      </c>
      <c r="H3092" s="4" t="s">
        <v>9877</v>
      </c>
      <c r="I3092" s="4" t="s">
        <v>9765</v>
      </c>
      <c r="J3092" s="4" t="s">
        <v>9814</v>
      </c>
      <c r="K3092" s="4" t="s">
        <v>9878</v>
      </c>
      <c r="L3092" s="5">
        <v>37400</v>
      </c>
    </row>
    <row r="3093" spans="1:12" x14ac:dyDescent="0.25">
      <c r="A3093" s="3" t="s">
        <v>9197</v>
      </c>
      <c r="B3093" s="4" t="s">
        <v>9762</v>
      </c>
      <c r="C3093" s="4" t="s">
        <v>14</v>
      </c>
      <c r="D3093" s="4" t="s">
        <v>15</v>
      </c>
      <c r="E3093" s="5" t="str">
        <f>"9350130"</f>
        <v>9350130</v>
      </c>
      <c r="F3093" s="3" t="s">
        <v>9879</v>
      </c>
      <c r="G3093" s="5">
        <v>2422021641</v>
      </c>
      <c r="H3093" s="4" t="s">
        <v>9880</v>
      </c>
      <c r="I3093" s="4" t="s">
        <v>9774</v>
      </c>
      <c r="J3093" s="4" t="s">
        <v>9881</v>
      </c>
      <c r="K3093" s="4" t="s">
        <v>9882</v>
      </c>
      <c r="L3093" s="5">
        <v>37100</v>
      </c>
    </row>
    <row r="3094" spans="1:12" x14ac:dyDescent="0.25">
      <c r="A3094" s="3" t="s">
        <v>9197</v>
      </c>
      <c r="B3094" s="4" t="s">
        <v>9762</v>
      </c>
      <c r="C3094" s="4" t="s">
        <v>14</v>
      </c>
      <c r="D3094" s="4" t="s">
        <v>15</v>
      </c>
      <c r="E3094" s="5" t="str">
        <f>"9350195"</f>
        <v>9350195</v>
      </c>
      <c r="F3094" s="3" t="s">
        <v>9883</v>
      </c>
      <c r="G3094" s="5">
        <v>2421085739</v>
      </c>
      <c r="H3094" s="4" t="s">
        <v>9884</v>
      </c>
      <c r="I3094" s="4" t="s">
        <v>9765</v>
      </c>
      <c r="J3094" s="4" t="s">
        <v>3468</v>
      </c>
      <c r="K3094" s="4" t="s">
        <v>9885</v>
      </c>
      <c r="L3094" s="5">
        <v>38446</v>
      </c>
    </row>
    <row r="3095" spans="1:12" x14ac:dyDescent="0.25">
      <c r="A3095" s="3" t="s">
        <v>9197</v>
      </c>
      <c r="B3095" s="4" t="s">
        <v>9762</v>
      </c>
      <c r="C3095" s="4" t="s">
        <v>14</v>
      </c>
      <c r="D3095" s="4" t="s">
        <v>15</v>
      </c>
      <c r="E3095" s="5" t="str">
        <f>"9350145"</f>
        <v>9350145</v>
      </c>
      <c r="F3095" s="3" t="s">
        <v>9886</v>
      </c>
      <c r="G3095" s="5">
        <v>2421085729</v>
      </c>
      <c r="H3095" s="4" t="s">
        <v>9887</v>
      </c>
      <c r="I3095" s="4" t="s">
        <v>9765</v>
      </c>
      <c r="J3095" s="4" t="s">
        <v>3258</v>
      </c>
      <c r="K3095" s="4" t="s">
        <v>9875</v>
      </c>
      <c r="L3095" s="5">
        <v>38446</v>
      </c>
    </row>
    <row r="3096" spans="1:12" x14ac:dyDescent="0.25">
      <c r="A3096" s="3" t="s">
        <v>9197</v>
      </c>
      <c r="B3096" s="4" t="s">
        <v>9762</v>
      </c>
      <c r="C3096" s="4" t="s">
        <v>25</v>
      </c>
      <c r="D3096" s="4" t="s">
        <v>26</v>
      </c>
      <c r="E3096" s="5" t="str">
        <f>"9350275"</f>
        <v>9350275</v>
      </c>
      <c r="F3096" s="3" t="s">
        <v>9888</v>
      </c>
      <c r="G3096" s="5">
        <v>2421060752</v>
      </c>
      <c r="H3096" s="4" t="s">
        <v>9889</v>
      </c>
      <c r="I3096" s="4" t="s">
        <v>9765</v>
      </c>
      <c r="J3096" s="4" t="s">
        <v>3257</v>
      </c>
      <c r="K3096" s="4" t="s">
        <v>9875</v>
      </c>
      <c r="L3096" s="5">
        <v>38446</v>
      </c>
    </row>
    <row r="3097" spans="1:12" x14ac:dyDescent="0.25">
      <c r="A3097" s="3" t="s">
        <v>9197</v>
      </c>
      <c r="B3097" s="4" t="s">
        <v>9762</v>
      </c>
      <c r="C3097" s="4" t="s">
        <v>25</v>
      </c>
      <c r="D3097" s="4" t="s">
        <v>26</v>
      </c>
      <c r="E3097" s="5" t="str">
        <f>"9350282"</f>
        <v>9350282</v>
      </c>
      <c r="F3097" s="3" t="s">
        <v>9890</v>
      </c>
      <c r="G3097" s="5">
        <v>2421059076</v>
      </c>
      <c r="H3097" s="4" t="s">
        <v>9891</v>
      </c>
      <c r="I3097" s="4" t="s">
        <v>9765</v>
      </c>
      <c r="J3097" s="4" t="s">
        <v>9784</v>
      </c>
      <c r="K3097" s="4" t="s">
        <v>9892</v>
      </c>
      <c r="L3097" s="5">
        <v>38333</v>
      </c>
    </row>
    <row r="3098" spans="1:12" x14ac:dyDescent="0.25">
      <c r="A3098" s="3" t="s">
        <v>9197</v>
      </c>
      <c r="B3098" s="4" t="s">
        <v>9762</v>
      </c>
      <c r="C3098" s="4" t="s">
        <v>25</v>
      </c>
      <c r="D3098" s="4" t="s">
        <v>26</v>
      </c>
      <c r="E3098" s="5" t="str">
        <f>"9350064"</f>
        <v>9350064</v>
      </c>
      <c r="F3098" s="3" t="s">
        <v>9893</v>
      </c>
      <c r="G3098" s="5">
        <v>2421059076</v>
      </c>
      <c r="H3098" s="4" t="s">
        <v>9894</v>
      </c>
      <c r="I3098" s="4" t="s">
        <v>9765</v>
      </c>
      <c r="J3098" s="4" t="s">
        <v>9765</v>
      </c>
      <c r="K3098" s="4" t="s">
        <v>9895</v>
      </c>
      <c r="L3098" s="5">
        <v>38333</v>
      </c>
    </row>
    <row r="3099" spans="1:12" x14ac:dyDescent="0.25">
      <c r="A3099" s="3" t="s">
        <v>9197</v>
      </c>
      <c r="B3099" s="4" t="s">
        <v>9762</v>
      </c>
      <c r="C3099" s="4" t="s">
        <v>25</v>
      </c>
      <c r="D3099" s="4" t="s">
        <v>26</v>
      </c>
      <c r="E3099" s="5" t="str">
        <f>"9350251"</f>
        <v>9350251</v>
      </c>
      <c r="F3099" s="3" t="s">
        <v>9896</v>
      </c>
      <c r="G3099" s="5">
        <v>2421023853</v>
      </c>
      <c r="H3099" s="4" t="s">
        <v>9897</v>
      </c>
      <c r="I3099" s="4" t="s">
        <v>9765</v>
      </c>
      <c r="J3099" s="4" t="s">
        <v>9765</v>
      </c>
      <c r="K3099" s="4" t="s">
        <v>9834</v>
      </c>
      <c r="L3099" s="5">
        <v>38333</v>
      </c>
    </row>
    <row r="3100" spans="1:12" x14ac:dyDescent="0.25">
      <c r="A3100" s="3" t="s">
        <v>9197</v>
      </c>
      <c r="B3100" s="4" t="s">
        <v>9762</v>
      </c>
      <c r="C3100" s="4" t="s">
        <v>25</v>
      </c>
      <c r="D3100" s="4" t="s">
        <v>26</v>
      </c>
      <c r="E3100" s="5" t="str">
        <f>"9350069"</f>
        <v>9350069</v>
      </c>
      <c r="F3100" s="3" t="s">
        <v>9898</v>
      </c>
      <c r="G3100" s="5">
        <v>2421039552</v>
      </c>
      <c r="H3100" s="4" t="s">
        <v>9899</v>
      </c>
      <c r="I3100" s="4" t="s">
        <v>9765</v>
      </c>
      <c r="J3100" s="4" t="s">
        <v>9765</v>
      </c>
      <c r="K3100" s="4" t="s">
        <v>9900</v>
      </c>
      <c r="L3100" s="5">
        <v>38333</v>
      </c>
    </row>
    <row r="3101" spans="1:12" x14ac:dyDescent="0.25">
      <c r="A3101" s="3" t="s">
        <v>9197</v>
      </c>
      <c r="B3101" s="4" t="s">
        <v>9762</v>
      </c>
      <c r="C3101" s="4" t="s">
        <v>14</v>
      </c>
      <c r="D3101" s="4" t="s">
        <v>15</v>
      </c>
      <c r="E3101" s="5" t="str">
        <f>"9350115"</f>
        <v>9350115</v>
      </c>
      <c r="F3101" s="3" t="s">
        <v>9901</v>
      </c>
      <c r="G3101" s="5">
        <v>2422021482</v>
      </c>
      <c r="H3101" s="4" t="s">
        <v>9902</v>
      </c>
      <c r="I3101" s="4" t="s">
        <v>9774</v>
      </c>
      <c r="J3101" s="4" t="s">
        <v>9824</v>
      </c>
      <c r="K3101" s="4" t="s">
        <v>9903</v>
      </c>
      <c r="L3101" s="5">
        <v>37100</v>
      </c>
    </row>
    <row r="3102" spans="1:12" x14ac:dyDescent="0.25">
      <c r="A3102" s="3" t="s">
        <v>9197</v>
      </c>
      <c r="B3102" s="4" t="s">
        <v>9762</v>
      </c>
      <c r="C3102" s="4" t="s">
        <v>25</v>
      </c>
      <c r="D3102" s="4" t="s">
        <v>26</v>
      </c>
      <c r="E3102" s="5" t="str">
        <f>"9350177"</f>
        <v>9350177</v>
      </c>
      <c r="F3102" s="3" t="s">
        <v>9904</v>
      </c>
      <c r="G3102" s="5">
        <v>2421085752</v>
      </c>
      <c r="H3102" s="4" t="s">
        <v>9905</v>
      </c>
      <c r="I3102" s="4" t="s">
        <v>9765</v>
      </c>
      <c r="J3102" s="4" t="s">
        <v>9837</v>
      </c>
      <c r="K3102" s="4" t="s">
        <v>9906</v>
      </c>
      <c r="L3102" s="5">
        <v>38445</v>
      </c>
    </row>
    <row r="3103" spans="1:12" x14ac:dyDescent="0.25">
      <c r="A3103" s="3" t="s">
        <v>9197</v>
      </c>
      <c r="B3103" s="4" t="s">
        <v>9762</v>
      </c>
      <c r="C3103" s="4" t="s">
        <v>25</v>
      </c>
      <c r="D3103" s="4" t="s">
        <v>26</v>
      </c>
      <c r="E3103" s="5" t="str">
        <f>"9350254"</f>
        <v>9350254</v>
      </c>
      <c r="F3103" s="3" t="s">
        <v>9907</v>
      </c>
      <c r="G3103" s="5">
        <v>2421350394</v>
      </c>
      <c r="H3103" s="4" t="s">
        <v>9908</v>
      </c>
      <c r="I3103" s="4" t="s">
        <v>9765</v>
      </c>
      <c r="J3103" s="4" t="s">
        <v>9765</v>
      </c>
      <c r="K3103" s="4" t="s">
        <v>9909</v>
      </c>
      <c r="L3103" s="5">
        <v>38333</v>
      </c>
    </row>
    <row r="3104" spans="1:12" x14ac:dyDescent="0.25">
      <c r="A3104" s="3" t="s">
        <v>9197</v>
      </c>
      <c r="B3104" s="4" t="s">
        <v>9762</v>
      </c>
      <c r="C3104" s="4" t="s">
        <v>14</v>
      </c>
      <c r="D3104" s="4" t="s">
        <v>15</v>
      </c>
      <c r="E3104" s="5" t="str">
        <f>"9350202"</f>
        <v>9350202</v>
      </c>
      <c r="F3104" s="3" t="s">
        <v>9910</v>
      </c>
      <c r="G3104" s="5">
        <v>2421085740</v>
      </c>
      <c r="H3104" s="4" t="s">
        <v>9911</v>
      </c>
      <c r="I3104" s="4" t="s">
        <v>9765</v>
      </c>
      <c r="J3104" s="4" t="s">
        <v>3258</v>
      </c>
      <c r="K3104" s="4" t="s">
        <v>9912</v>
      </c>
      <c r="L3104" s="5">
        <v>38445</v>
      </c>
    </row>
    <row r="3105" spans="1:12" x14ac:dyDescent="0.25">
      <c r="A3105" s="3" t="s">
        <v>9197</v>
      </c>
      <c r="B3105" s="4" t="s">
        <v>9762</v>
      </c>
      <c r="C3105" s="4" t="s">
        <v>14</v>
      </c>
      <c r="D3105" s="4" t="s">
        <v>15</v>
      </c>
      <c r="E3105" s="5" t="str">
        <f>"9350142"</f>
        <v>9350142</v>
      </c>
      <c r="F3105" s="3" t="s">
        <v>9913</v>
      </c>
      <c r="G3105" s="5">
        <v>2421085733</v>
      </c>
      <c r="H3105" s="4" t="s">
        <v>9914</v>
      </c>
      <c r="I3105" s="4" t="s">
        <v>9765</v>
      </c>
      <c r="J3105" s="4" t="s">
        <v>3258</v>
      </c>
      <c r="K3105" s="4" t="s">
        <v>9915</v>
      </c>
      <c r="L3105" s="5">
        <v>38445</v>
      </c>
    </row>
    <row r="3106" spans="1:12" x14ac:dyDescent="0.25">
      <c r="A3106" s="3" t="s">
        <v>9197</v>
      </c>
      <c r="B3106" s="4" t="s">
        <v>9762</v>
      </c>
      <c r="C3106" s="4" t="s">
        <v>14</v>
      </c>
      <c r="D3106" s="4" t="s">
        <v>15</v>
      </c>
      <c r="E3106" s="5" t="str">
        <f>"9350018"</f>
        <v>9350018</v>
      </c>
      <c r="F3106" s="3" t="s">
        <v>9916</v>
      </c>
      <c r="G3106" s="5">
        <v>2421072346</v>
      </c>
      <c r="H3106" s="4" t="s">
        <v>9917</v>
      </c>
      <c r="I3106" s="4" t="s">
        <v>9765</v>
      </c>
      <c r="J3106" s="4" t="s">
        <v>9918</v>
      </c>
      <c r="K3106" s="4" t="s">
        <v>9919</v>
      </c>
      <c r="L3106" s="5">
        <v>38500</v>
      </c>
    </row>
    <row r="3107" spans="1:12" x14ac:dyDescent="0.25">
      <c r="A3107" s="3" t="s">
        <v>9197</v>
      </c>
      <c r="B3107" s="4" t="s">
        <v>9762</v>
      </c>
      <c r="C3107" s="4" t="s">
        <v>25</v>
      </c>
      <c r="D3107" s="4" t="s">
        <v>26</v>
      </c>
      <c r="E3107" s="5" t="str">
        <f>"9350083"</f>
        <v>9350083</v>
      </c>
      <c r="F3107" s="3" t="s">
        <v>9920</v>
      </c>
      <c r="G3107" s="5">
        <v>2425350322</v>
      </c>
      <c r="H3107" s="4" t="s">
        <v>9921</v>
      </c>
      <c r="I3107" s="4" t="s">
        <v>9922</v>
      </c>
      <c r="J3107" s="4" t="s">
        <v>9923</v>
      </c>
      <c r="K3107" s="4" t="s">
        <v>9924</v>
      </c>
      <c r="L3107" s="5">
        <v>37500</v>
      </c>
    </row>
    <row r="3108" spans="1:12" x14ac:dyDescent="0.25">
      <c r="A3108" s="3" t="s">
        <v>9197</v>
      </c>
      <c r="B3108" s="4" t="s">
        <v>9762</v>
      </c>
      <c r="C3108" s="4" t="s">
        <v>14</v>
      </c>
      <c r="D3108" s="4" t="s">
        <v>15</v>
      </c>
      <c r="E3108" s="5" t="str">
        <f>"9350213"</f>
        <v>9350213</v>
      </c>
      <c r="F3108" s="3" t="s">
        <v>9925</v>
      </c>
      <c r="G3108" s="5">
        <v>2421085741</v>
      </c>
      <c r="H3108" s="4" t="s">
        <v>9926</v>
      </c>
      <c r="I3108" s="4" t="s">
        <v>9765</v>
      </c>
      <c r="J3108" s="4" t="s">
        <v>3468</v>
      </c>
      <c r="K3108" s="4" t="s">
        <v>9915</v>
      </c>
      <c r="L3108" s="5">
        <v>38445</v>
      </c>
    </row>
    <row r="3109" spans="1:12" x14ac:dyDescent="0.25">
      <c r="A3109" s="3" t="s">
        <v>9197</v>
      </c>
      <c r="B3109" s="4" t="s">
        <v>9762</v>
      </c>
      <c r="C3109" s="4" t="s">
        <v>14</v>
      </c>
      <c r="D3109" s="4" t="s">
        <v>15</v>
      </c>
      <c r="E3109" s="5" t="str">
        <f>"9350005"</f>
        <v>9350005</v>
      </c>
      <c r="F3109" s="3" t="s">
        <v>9927</v>
      </c>
      <c r="G3109" s="5">
        <v>2421039516</v>
      </c>
      <c r="H3109" s="4" t="s">
        <v>9928</v>
      </c>
      <c r="I3109" s="4" t="s">
        <v>9765</v>
      </c>
      <c r="J3109" s="4" t="s">
        <v>9784</v>
      </c>
      <c r="K3109" s="4" t="s">
        <v>9929</v>
      </c>
      <c r="L3109" s="5">
        <v>38221</v>
      </c>
    </row>
    <row r="3110" spans="1:12" x14ac:dyDescent="0.25">
      <c r="A3110" s="3" t="s">
        <v>9197</v>
      </c>
      <c r="B3110" s="4" t="s">
        <v>9762</v>
      </c>
      <c r="C3110" s="4" t="s">
        <v>14</v>
      </c>
      <c r="D3110" s="4" t="s">
        <v>15</v>
      </c>
      <c r="E3110" s="5" t="str">
        <f>"9350289"</f>
        <v>9350289</v>
      </c>
      <c r="F3110" s="3" t="s">
        <v>9930</v>
      </c>
      <c r="G3110" s="5">
        <v>2422025383</v>
      </c>
      <c r="H3110" s="4" t="s">
        <v>9931</v>
      </c>
      <c r="I3110" s="4" t="s">
        <v>9774</v>
      </c>
      <c r="J3110" s="4" t="s">
        <v>9824</v>
      </c>
      <c r="K3110" s="4" t="s">
        <v>9932</v>
      </c>
      <c r="L3110" s="5">
        <v>37100</v>
      </c>
    </row>
    <row r="3111" spans="1:12" x14ac:dyDescent="0.25">
      <c r="A3111" s="3" t="s">
        <v>9197</v>
      </c>
      <c r="B3111" s="4" t="s">
        <v>9762</v>
      </c>
      <c r="C3111" s="4" t="s">
        <v>25</v>
      </c>
      <c r="D3111" s="4" t="s">
        <v>26</v>
      </c>
      <c r="E3111" s="5" t="str">
        <f>"9350209"</f>
        <v>9350209</v>
      </c>
      <c r="F3111" s="3" t="s">
        <v>9933</v>
      </c>
      <c r="G3111" s="5">
        <v>2421085751</v>
      </c>
      <c r="H3111" s="4" t="s">
        <v>9934</v>
      </c>
      <c r="I3111" s="4" t="s">
        <v>9765</v>
      </c>
      <c r="J3111" s="4" t="s">
        <v>3257</v>
      </c>
      <c r="K3111" s="4" t="s">
        <v>9935</v>
      </c>
      <c r="L3111" s="5">
        <v>38445</v>
      </c>
    </row>
    <row r="3112" spans="1:12" x14ac:dyDescent="0.25">
      <c r="A3112" s="3" t="s">
        <v>9197</v>
      </c>
      <c r="B3112" s="4" t="s">
        <v>9762</v>
      </c>
      <c r="C3112" s="4" t="s">
        <v>14</v>
      </c>
      <c r="D3112" s="4" t="s">
        <v>15</v>
      </c>
      <c r="E3112" s="5" t="str">
        <f>"9350110"</f>
        <v>9350110</v>
      </c>
      <c r="F3112" s="3" t="s">
        <v>9936</v>
      </c>
      <c r="G3112" s="5">
        <v>2425031250</v>
      </c>
      <c r="H3112" s="4" t="s">
        <v>9937</v>
      </c>
      <c r="I3112" s="4" t="s">
        <v>9922</v>
      </c>
      <c r="J3112" s="4" t="s">
        <v>9938</v>
      </c>
      <c r="K3112" s="4"/>
      <c r="L3112" s="5">
        <v>37500</v>
      </c>
    </row>
    <row r="3113" spans="1:12" x14ac:dyDescent="0.25">
      <c r="A3113" s="3" t="s">
        <v>9197</v>
      </c>
      <c r="B3113" s="4" t="s">
        <v>9762</v>
      </c>
      <c r="C3113" s="4" t="s">
        <v>25</v>
      </c>
      <c r="D3113" s="4" t="s">
        <v>26</v>
      </c>
      <c r="E3113" s="5" t="str">
        <f>"9350198"</f>
        <v>9350198</v>
      </c>
      <c r="F3113" s="3" t="s">
        <v>9939</v>
      </c>
      <c r="G3113" s="5">
        <v>2421071503</v>
      </c>
      <c r="H3113" s="4" t="s">
        <v>9940</v>
      </c>
      <c r="I3113" s="4" t="s">
        <v>9765</v>
      </c>
      <c r="J3113" s="4"/>
      <c r="K3113" s="4" t="s">
        <v>9918</v>
      </c>
      <c r="L3113" s="5">
        <v>38500</v>
      </c>
    </row>
    <row r="3114" spans="1:12" x14ac:dyDescent="0.25">
      <c r="A3114" s="3" t="s">
        <v>9197</v>
      </c>
      <c r="B3114" s="4" t="s">
        <v>9762</v>
      </c>
      <c r="C3114" s="4" t="s">
        <v>25</v>
      </c>
      <c r="D3114" s="4" t="s">
        <v>26</v>
      </c>
      <c r="E3114" s="5" t="str">
        <f>"9350016"</f>
        <v>9350016</v>
      </c>
      <c r="F3114" s="3" t="s">
        <v>9941</v>
      </c>
      <c r="G3114" s="5">
        <v>2428094073</v>
      </c>
      <c r="H3114" s="4" t="s">
        <v>9942</v>
      </c>
      <c r="I3114" s="4" t="s">
        <v>9765</v>
      </c>
      <c r="J3114" s="4" t="s">
        <v>9943</v>
      </c>
      <c r="K3114" s="4" t="s">
        <v>9944</v>
      </c>
      <c r="L3114" s="5">
        <v>37300</v>
      </c>
    </row>
    <row r="3115" spans="1:12" x14ac:dyDescent="0.25">
      <c r="A3115" s="3" t="s">
        <v>9197</v>
      </c>
      <c r="B3115" s="4" t="s">
        <v>9762</v>
      </c>
      <c r="C3115" s="4" t="s">
        <v>25</v>
      </c>
      <c r="D3115" s="4" t="s">
        <v>26</v>
      </c>
      <c r="E3115" s="5" t="str">
        <f>"9350161"</f>
        <v>9350161</v>
      </c>
      <c r="F3115" s="3" t="s">
        <v>9945</v>
      </c>
      <c r="G3115" s="5">
        <v>2421085722</v>
      </c>
      <c r="H3115" s="4" t="s">
        <v>9946</v>
      </c>
      <c r="I3115" s="4" t="s">
        <v>9765</v>
      </c>
      <c r="J3115" s="4" t="s">
        <v>9766</v>
      </c>
      <c r="K3115" s="4" t="s">
        <v>9947</v>
      </c>
      <c r="L3115" s="5">
        <v>38446</v>
      </c>
    </row>
    <row r="3116" spans="1:12" x14ac:dyDescent="0.25">
      <c r="A3116" s="3" t="s">
        <v>9197</v>
      </c>
      <c r="B3116" s="4" t="s">
        <v>9762</v>
      </c>
      <c r="C3116" s="4" t="s">
        <v>14</v>
      </c>
      <c r="D3116" s="4" t="s">
        <v>15</v>
      </c>
      <c r="E3116" s="5" t="str">
        <f>"9350238"</f>
        <v>9350238</v>
      </c>
      <c r="F3116" s="3" t="s">
        <v>9948</v>
      </c>
      <c r="G3116" s="5">
        <v>2421039583</v>
      </c>
      <c r="H3116" s="4" t="s">
        <v>9949</v>
      </c>
      <c r="I3116" s="4" t="s">
        <v>9765</v>
      </c>
      <c r="J3116" s="4" t="s">
        <v>9784</v>
      </c>
      <c r="K3116" s="4" t="s">
        <v>9950</v>
      </c>
      <c r="L3116" s="5">
        <v>38333</v>
      </c>
    </row>
    <row r="3117" spans="1:12" x14ac:dyDescent="0.25">
      <c r="A3117" s="3" t="s">
        <v>9197</v>
      </c>
      <c r="B3117" s="4" t="s">
        <v>9762</v>
      </c>
      <c r="C3117" s="4" t="s">
        <v>14</v>
      </c>
      <c r="D3117" s="4" t="s">
        <v>15</v>
      </c>
      <c r="E3117" s="5" t="str">
        <f>"9350167"</f>
        <v>9350167</v>
      </c>
      <c r="F3117" s="3" t="s">
        <v>9951</v>
      </c>
      <c r="G3117" s="5">
        <v>2421053222</v>
      </c>
      <c r="H3117" s="4" t="s">
        <v>9952</v>
      </c>
      <c r="I3117" s="4" t="s">
        <v>9765</v>
      </c>
      <c r="J3117" s="4" t="s">
        <v>9953</v>
      </c>
      <c r="K3117" s="4" t="s">
        <v>9954</v>
      </c>
      <c r="L3117" s="5">
        <v>38222</v>
      </c>
    </row>
    <row r="3118" spans="1:12" x14ac:dyDescent="0.25">
      <c r="A3118" s="3" t="s">
        <v>9197</v>
      </c>
      <c r="B3118" s="4" t="s">
        <v>9762</v>
      </c>
      <c r="C3118" s="4" t="s">
        <v>14</v>
      </c>
      <c r="D3118" s="4" t="s">
        <v>15</v>
      </c>
      <c r="E3118" s="5" t="str">
        <f>"9350073"</f>
        <v>9350073</v>
      </c>
      <c r="F3118" s="3" t="s">
        <v>9955</v>
      </c>
      <c r="G3118" s="5">
        <v>2421072374</v>
      </c>
      <c r="H3118" s="4" t="s">
        <v>9956</v>
      </c>
      <c r="I3118" s="4" t="s">
        <v>9765</v>
      </c>
      <c r="J3118" s="4" t="s">
        <v>9784</v>
      </c>
      <c r="K3118" s="4" t="s">
        <v>9845</v>
      </c>
      <c r="L3118" s="5">
        <v>38223</v>
      </c>
    </row>
    <row r="3119" spans="1:12" x14ac:dyDescent="0.25">
      <c r="A3119" s="3" t="s">
        <v>9197</v>
      </c>
      <c r="B3119" s="4" t="s">
        <v>9762</v>
      </c>
      <c r="C3119" s="4" t="s">
        <v>25</v>
      </c>
      <c r="D3119" s="4" t="s">
        <v>26</v>
      </c>
      <c r="E3119" s="5" t="str">
        <f>"9350222"</f>
        <v>9350222</v>
      </c>
      <c r="F3119" s="3" t="s">
        <v>9957</v>
      </c>
      <c r="G3119" s="5">
        <v>2421083839</v>
      </c>
      <c r="H3119" s="4" t="s">
        <v>9958</v>
      </c>
      <c r="I3119" s="4" t="s">
        <v>9765</v>
      </c>
      <c r="J3119" s="4" t="s">
        <v>9765</v>
      </c>
      <c r="K3119" s="4" t="s">
        <v>9959</v>
      </c>
      <c r="L3119" s="5">
        <v>38334</v>
      </c>
    </row>
    <row r="3120" spans="1:12" x14ac:dyDescent="0.25">
      <c r="A3120" s="3" t="s">
        <v>9197</v>
      </c>
      <c r="B3120" s="4" t="s">
        <v>9762</v>
      </c>
      <c r="C3120" s="4" t="s">
        <v>25</v>
      </c>
      <c r="D3120" s="4" t="s">
        <v>26</v>
      </c>
      <c r="E3120" s="5" t="str">
        <f>"9350146"</f>
        <v>9350146</v>
      </c>
      <c r="F3120" s="3" t="s">
        <v>9960</v>
      </c>
      <c r="G3120" s="5">
        <v>2421085744</v>
      </c>
      <c r="H3120" s="4" t="s">
        <v>9961</v>
      </c>
      <c r="I3120" s="4" t="s">
        <v>9765</v>
      </c>
      <c r="J3120" s="4" t="s">
        <v>3257</v>
      </c>
      <c r="K3120" s="4" t="s">
        <v>9962</v>
      </c>
      <c r="L3120" s="5">
        <v>38446</v>
      </c>
    </row>
    <row r="3121" spans="1:12" x14ac:dyDescent="0.25">
      <c r="A3121" s="3" t="s">
        <v>9197</v>
      </c>
      <c r="B3121" s="4" t="s">
        <v>9762</v>
      </c>
      <c r="C3121" s="4" t="s">
        <v>14</v>
      </c>
      <c r="D3121" s="4" t="s">
        <v>15</v>
      </c>
      <c r="E3121" s="5" t="str">
        <f>"9350004"</f>
        <v>9350004</v>
      </c>
      <c r="F3121" s="3" t="s">
        <v>9963</v>
      </c>
      <c r="G3121" s="5">
        <v>2421043421</v>
      </c>
      <c r="H3121" s="4" t="s">
        <v>9964</v>
      </c>
      <c r="I3121" s="4" t="s">
        <v>9765</v>
      </c>
      <c r="J3121" s="4" t="s">
        <v>9784</v>
      </c>
      <c r="K3121" s="4" t="s">
        <v>9965</v>
      </c>
      <c r="L3121" s="5">
        <v>38222</v>
      </c>
    </row>
    <row r="3122" spans="1:12" x14ac:dyDescent="0.25">
      <c r="A3122" s="3" t="s">
        <v>9197</v>
      </c>
      <c r="B3122" s="4" t="s">
        <v>9762</v>
      </c>
      <c r="C3122" s="4" t="s">
        <v>14</v>
      </c>
      <c r="D3122" s="4" t="s">
        <v>15</v>
      </c>
      <c r="E3122" s="5" t="str">
        <f>"9350140"</f>
        <v>9350140</v>
      </c>
      <c r="F3122" s="3" t="s">
        <v>9966</v>
      </c>
      <c r="G3122" s="5">
        <v>2421085730</v>
      </c>
      <c r="H3122" s="4" t="s">
        <v>9967</v>
      </c>
      <c r="I3122" s="4" t="s">
        <v>9765</v>
      </c>
      <c r="J3122" s="4" t="s">
        <v>9766</v>
      </c>
      <c r="K3122" s="4" t="s">
        <v>9885</v>
      </c>
      <c r="L3122" s="5">
        <v>38446</v>
      </c>
    </row>
    <row r="3123" spans="1:12" ht="30" x14ac:dyDescent="0.25">
      <c r="A3123" s="3" t="s">
        <v>9197</v>
      </c>
      <c r="B3123" s="4" t="s">
        <v>9762</v>
      </c>
      <c r="C3123" s="4" t="s">
        <v>14</v>
      </c>
      <c r="D3123" s="4" t="s">
        <v>15</v>
      </c>
      <c r="E3123" s="5" t="str">
        <f>"9350028"</f>
        <v>9350028</v>
      </c>
      <c r="F3123" s="3" t="s">
        <v>9968</v>
      </c>
      <c r="G3123" s="5">
        <v>2428093592</v>
      </c>
      <c r="H3123" s="4" t="s">
        <v>9969</v>
      </c>
      <c r="I3123" s="4" t="s">
        <v>9765</v>
      </c>
      <c r="J3123" s="4" t="s">
        <v>9970</v>
      </c>
      <c r="K3123" s="4" t="s">
        <v>9970</v>
      </c>
      <c r="L3123" s="5">
        <v>37300</v>
      </c>
    </row>
    <row r="3124" spans="1:12" x14ac:dyDescent="0.25">
      <c r="A3124" s="3" t="s">
        <v>9197</v>
      </c>
      <c r="B3124" s="4" t="s">
        <v>9762</v>
      </c>
      <c r="C3124" s="4" t="s">
        <v>14</v>
      </c>
      <c r="D3124" s="4" t="s">
        <v>15</v>
      </c>
      <c r="E3124" s="5" t="str">
        <f>"9350001"</f>
        <v>9350001</v>
      </c>
      <c r="F3124" s="3" t="s">
        <v>9971</v>
      </c>
      <c r="G3124" s="5">
        <v>2421072366</v>
      </c>
      <c r="H3124" s="4" t="s">
        <v>9972</v>
      </c>
      <c r="I3124" s="4" t="s">
        <v>9765</v>
      </c>
      <c r="J3124" s="4" t="s">
        <v>9784</v>
      </c>
      <c r="K3124" s="4" t="s">
        <v>9973</v>
      </c>
      <c r="L3124" s="5">
        <v>38221</v>
      </c>
    </row>
    <row r="3125" spans="1:12" x14ac:dyDescent="0.25">
      <c r="A3125" s="3" t="s">
        <v>9197</v>
      </c>
      <c r="B3125" s="4" t="s">
        <v>9762</v>
      </c>
      <c r="C3125" s="4" t="s">
        <v>14</v>
      </c>
      <c r="D3125" s="4" t="s">
        <v>15</v>
      </c>
      <c r="E3125" s="5" t="str">
        <f>"9350212"</f>
        <v>9350212</v>
      </c>
      <c r="F3125" s="3" t="s">
        <v>9974</v>
      </c>
      <c r="G3125" s="5">
        <v>2421039528</v>
      </c>
      <c r="H3125" s="4" t="s">
        <v>9975</v>
      </c>
      <c r="I3125" s="4" t="s">
        <v>9765</v>
      </c>
      <c r="J3125" s="4" t="s">
        <v>9784</v>
      </c>
      <c r="K3125" s="4" t="s">
        <v>9976</v>
      </c>
      <c r="L3125" s="5">
        <v>38221</v>
      </c>
    </row>
    <row r="3126" spans="1:12" x14ac:dyDescent="0.25">
      <c r="A3126" s="3" t="s">
        <v>9197</v>
      </c>
      <c r="B3126" s="4" t="s">
        <v>9762</v>
      </c>
      <c r="C3126" s="4" t="s">
        <v>14</v>
      </c>
      <c r="D3126" s="4" t="s">
        <v>15</v>
      </c>
      <c r="E3126" s="5" t="str">
        <f>"9350193"</f>
        <v>9350193</v>
      </c>
      <c r="F3126" s="3" t="s">
        <v>9977</v>
      </c>
      <c r="G3126" s="5">
        <v>2421054527</v>
      </c>
      <c r="H3126" s="4" t="s">
        <v>9978</v>
      </c>
      <c r="I3126" s="4" t="s">
        <v>9765</v>
      </c>
      <c r="J3126" s="4" t="s">
        <v>9784</v>
      </c>
      <c r="K3126" s="4" t="s">
        <v>9979</v>
      </c>
      <c r="L3126" s="5">
        <v>38222</v>
      </c>
    </row>
    <row r="3127" spans="1:12" x14ac:dyDescent="0.25">
      <c r="A3127" s="3" t="s">
        <v>9197</v>
      </c>
      <c r="B3127" s="4" t="s">
        <v>9762</v>
      </c>
      <c r="C3127" s="4" t="s">
        <v>25</v>
      </c>
      <c r="D3127" s="4" t="s">
        <v>26</v>
      </c>
      <c r="E3127" s="5" t="str">
        <f>"9350010"</f>
        <v>9350010</v>
      </c>
      <c r="F3127" s="3" t="s">
        <v>9980</v>
      </c>
      <c r="G3127" s="5">
        <v>2421055738</v>
      </c>
      <c r="H3127" s="4" t="s">
        <v>9981</v>
      </c>
      <c r="I3127" s="4" t="s">
        <v>9765</v>
      </c>
      <c r="J3127" s="4" t="s">
        <v>9765</v>
      </c>
      <c r="K3127" s="4" t="s">
        <v>9982</v>
      </c>
      <c r="L3127" s="5">
        <v>38222</v>
      </c>
    </row>
    <row r="3128" spans="1:12" x14ac:dyDescent="0.25">
      <c r="A3128" s="3" t="s">
        <v>9197</v>
      </c>
      <c r="B3128" s="4" t="s">
        <v>9762</v>
      </c>
      <c r="C3128" s="4" t="s">
        <v>14</v>
      </c>
      <c r="D3128" s="4" t="s">
        <v>15</v>
      </c>
      <c r="E3128" s="5" t="str">
        <f>"9350259"</f>
        <v>9350259</v>
      </c>
      <c r="F3128" s="3" t="s">
        <v>9983</v>
      </c>
      <c r="G3128" s="5">
        <v>2428092092</v>
      </c>
      <c r="H3128" s="4" t="s">
        <v>9984</v>
      </c>
      <c r="I3128" s="4" t="s">
        <v>9765</v>
      </c>
      <c r="J3128" s="4" t="s">
        <v>9985</v>
      </c>
      <c r="K3128" s="4" t="s">
        <v>9986</v>
      </c>
      <c r="L3128" s="5">
        <v>37300</v>
      </c>
    </row>
    <row r="3129" spans="1:12" x14ac:dyDescent="0.25">
      <c r="A3129" s="3" t="s">
        <v>9197</v>
      </c>
      <c r="B3129" s="4" t="s">
        <v>9762</v>
      </c>
      <c r="C3129" s="4" t="s">
        <v>14</v>
      </c>
      <c r="D3129" s="4" t="s">
        <v>15</v>
      </c>
      <c r="E3129" s="5" t="str">
        <f>"9350150"</f>
        <v>9350150</v>
      </c>
      <c r="F3129" s="3" t="s">
        <v>9987</v>
      </c>
      <c r="G3129" s="5">
        <v>2428076225</v>
      </c>
      <c r="H3129" s="4" t="s">
        <v>9988</v>
      </c>
      <c r="I3129" s="4" t="s">
        <v>9765</v>
      </c>
      <c r="J3129" s="4" t="s">
        <v>9814</v>
      </c>
      <c r="K3129" s="4" t="s">
        <v>9989</v>
      </c>
      <c r="L3129" s="5">
        <v>37400</v>
      </c>
    </row>
    <row r="3130" spans="1:12" x14ac:dyDescent="0.25">
      <c r="A3130" s="3" t="s">
        <v>9197</v>
      </c>
      <c r="B3130" s="4" t="s">
        <v>9762</v>
      </c>
      <c r="C3130" s="4" t="s">
        <v>14</v>
      </c>
      <c r="D3130" s="4" t="s">
        <v>15</v>
      </c>
      <c r="E3130" s="5" t="str">
        <f>"9350062"</f>
        <v>9350062</v>
      </c>
      <c r="F3130" s="3" t="s">
        <v>9990</v>
      </c>
      <c r="G3130" s="5">
        <v>2421039596</v>
      </c>
      <c r="H3130" s="4" t="s">
        <v>9991</v>
      </c>
      <c r="I3130" s="4" t="s">
        <v>9765</v>
      </c>
      <c r="J3130" s="4" t="s">
        <v>9765</v>
      </c>
      <c r="K3130" s="4" t="s">
        <v>9992</v>
      </c>
      <c r="L3130" s="5">
        <v>38333</v>
      </c>
    </row>
    <row r="3131" spans="1:12" x14ac:dyDescent="0.25">
      <c r="A3131" s="3" t="s">
        <v>9197</v>
      </c>
      <c r="B3131" s="4" t="s">
        <v>9762</v>
      </c>
      <c r="C3131" s="4" t="s">
        <v>14</v>
      </c>
      <c r="D3131" s="4" t="s">
        <v>15</v>
      </c>
      <c r="E3131" s="5" t="str">
        <f>"9350020"</f>
        <v>9350020</v>
      </c>
      <c r="F3131" s="3" t="s">
        <v>9993</v>
      </c>
      <c r="G3131" s="5">
        <v>2423054227</v>
      </c>
      <c r="H3131" s="4" t="s">
        <v>9994</v>
      </c>
      <c r="I3131" s="4" t="s">
        <v>9995</v>
      </c>
      <c r="J3131" s="4" t="s">
        <v>9996</v>
      </c>
      <c r="K3131" s="4" t="s">
        <v>9996</v>
      </c>
      <c r="L3131" s="5">
        <v>37006</v>
      </c>
    </row>
    <row r="3132" spans="1:12" x14ac:dyDescent="0.25">
      <c r="A3132" s="3" t="s">
        <v>9197</v>
      </c>
      <c r="B3132" s="4" t="s">
        <v>9762</v>
      </c>
      <c r="C3132" s="4" t="s">
        <v>25</v>
      </c>
      <c r="D3132" s="4" t="s">
        <v>26</v>
      </c>
      <c r="E3132" s="5" t="str">
        <f>"9350200"</f>
        <v>9350200</v>
      </c>
      <c r="F3132" s="3" t="s">
        <v>9997</v>
      </c>
      <c r="G3132" s="5">
        <v>2428093716</v>
      </c>
      <c r="H3132" s="4" t="s">
        <v>9998</v>
      </c>
      <c r="I3132" s="4" t="s">
        <v>9765</v>
      </c>
      <c r="J3132" s="4" t="s">
        <v>9943</v>
      </c>
      <c r="K3132" s="4" t="s">
        <v>9999</v>
      </c>
      <c r="L3132" s="5">
        <v>37300</v>
      </c>
    </row>
    <row r="3133" spans="1:12" x14ac:dyDescent="0.25">
      <c r="A3133" s="3" t="s">
        <v>9197</v>
      </c>
      <c r="B3133" s="4" t="s">
        <v>9762</v>
      </c>
      <c r="C3133" s="4" t="s">
        <v>14</v>
      </c>
      <c r="D3133" s="4" t="s">
        <v>15</v>
      </c>
      <c r="E3133" s="5" t="str">
        <f>"9350056"</f>
        <v>9350056</v>
      </c>
      <c r="F3133" s="3" t="s">
        <v>10000</v>
      </c>
      <c r="G3133" s="5">
        <v>2421072339</v>
      </c>
      <c r="H3133" s="4" t="s">
        <v>10001</v>
      </c>
      <c r="I3133" s="4" t="s">
        <v>9765</v>
      </c>
      <c r="J3133" s="4" t="s">
        <v>9784</v>
      </c>
      <c r="K3133" s="4" t="s">
        <v>10002</v>
      </c>
      <c r="L3133" s="5">
        <v>38333</v>
      </c>
    </row>
    <row r="3134" spans="1:12" x14ac:dyDescent="0.25">
      <c r="A3134" s="3" t="s">
        <v>9197</v>
      </c>
      <c r="B3134" s="4" t="s">
        <v>9762</v>
      </c>
      <c r="C3134" s="4" t="s">
        <v>25</v>
      </c>
      <c r="D3134" s="4" t="s">
        <v>26</v>
      </c>
      <c r="E3134" s="5" t="str">
        <f>"9350067"</f>
        <v>9350067</v>
      </c>
      <c r="F3134" s="3" t="s">
        <v>10003</v>
      </c>
      <c r="G3134" s="5">
        <v>2421072386</v>
      </c>
      <c r="H3134" s="4" t="s">
        <v>10004</v>
      </c>
      <c r="I3134" s="4" t="s">
        <v>9765</v>
      </c>
      <c r="J3134" s="4" t="s">
        <v>9765</v>
      </c>
      <c r="K3134" s="4" t="s">
        <v>10005</v>
      </c>
      <c r="L3134" s="5">
        <v>38333</v>
      </c>
    </row>
    <row r="3135" spans="1:12" x14ac:dyDescent="0.25">
      <c r="A3135" s="3" t="s">
        <v>9197</v>
      </c>
      <c r="B3135" s="4" t="s">
        <v>9762</v>
      </c>
      <c r="C3135" s="4" t="s">
        <v>25</v>
      </c>
      <c r="D3135" s="4" t="s">
        <v>26</v>
      </c>
      <c r="E3135" s="5" t="str">
        <f>"9350185"</f>
        <v>9350185</v>
      </c>
      <c r="F3135" s="3" t="s">
        <v>10006</v>
      </c>
      <c r="G3135" s="5">
        <v>2421085748</v>
      </c>
      <c r="H3135" s="4" t="s">
        <v>10007</v>
      </c>
      <c r="I3135" s="4" t="s">
        <v>9765</v>
      </c>
      <c r="J3135" s="4" t="s">
        <v>9765</v>
      </c>
      <c r="K3135" s="4" t="s">
        <v>10008</v>
      </c>
      <c r="L3135" s="5">
        <v>38334</v>
      </c>
    </row>
    <row r="3136" spans="1:12" x14ac:dyDescent="0.25">
      <c r="A3136" s="3" t="s">
        <v>9197</v>
      </c>
      <c r="B3136" s="4" t="s">
        <v>9762</v>
      </c>
      <c r="C3136" s="4" t="s">
        <v>14</v>
      </c>
      <c r="D3136" s="4" t="s">
        <v>15</v>
      </c>
      <c r="E3136" s="5" t="str">
        <f>"9350203"</f>
        <v>9350203</v>
      </c>
      <c r="F3136" s="3" t="s">
        <v>10009</v>
      </c>
      <c r="G3136" s="5">
        <v>2421072377</v>
      </c>
      <c r="H3136" s="4" t="s">
        <v>10010</v>
      </c>
      <c r="I3136" s="4" t="s">
        <v>9765</v>
      </c>
      <c r="J3136" s="4" t="s">
        <v>9784</v>
      </c>
      <c r="K3136" s="4" t="s">
        <v>10011</v>
      </c>
      <c r="L3136" s="5">
        <v>38333</v>
      </c>
    </row>
    <row r="3137" spans="1:12" x14ac:dyDescent="0.25">
      <c r="A3137" s="3" t="s">
        <v>9197</v>
      </c>
      <c r="B3137" s="4" t="s">
        <v>9762</v>
      </c>
      <c r="C3137" s="4" t="s">
        <v>14</v>
      </c>
      <c r="D3137" s="4" t="s">
        <v>15</v>
      </c>
      <c r="E3137" s="5" t="str">
        <f>"9350063"</f>
        <v>9350063</v>
      </c>
      <c r="F3137" s="3" t="s">
        <v>10012</v>
      </c>
      <c r="G3137" s="5">
        <v>2421085734</v>
      </c>
      <c r="H3137" s="4" t="s">
        <v>10013</v>
      </c>
      <c r="I3137" s="4" t="s">
        <v>9765</v>
      </c>
      <c r="J3137" s="4" t="s">
        <v>9784</v>
      </c>
      <c r="K3137" s="4" t="s">
        <v>10014</v>
      </c>
      <c r="L3137" s="5">
        <v>38334</v>
      </c>
    </row>
    <row r="3138" spans="1:12" x14ac:dyDescent="0.25">
      <c r="A3138" s="3" t="s">
        <v>9197</v>
      </c>
      <c r="B3138" s="4" t="s">
        <v>9762</v>
      </c>
      <c r="C3138" s="4" t="s">
        <v>14</v>
      </c>
      <c r="D3138" s="4" t="s">
        <v>15</v>
      </c>
      <c r="E3138" s="5" t="str">
        <f>"9350019"</f>
        <v>9350019</v>
      </c>
      <c r="F3138" s="3" t="s">
        <v>10015</v>
      </c>
      <c r="G3138" s="5">
        <v>2428093213</v>
      </c>
      <c r="H3138" s="4" t="s">
        <v>10016</v>
      </c>
      <c r="I3138" s="4" t="s">
        <v>9765</v>
      </c>
      <c r="J3138" s="4" t="s">
        <v>10017</v>
      </c>
      <c r="K3138" s="4" t="s">
        <v>10017</v>
      </c>
      <c r="L3138" s="5">
        <v>37300</v>
      </c>
    </row>
    <row r="3139" spans="1:12" x14ac:dyDescent="0.25">
      <c r="A3139" s="3" t="s">
        <v>9197</v>
      </c>
      <c r="B3139" s="4" t="s">
        <v>9762</v>
      </c>
      <c r="C3139" s="4" t="s">
        <v>25</v>
      </c>
      <c r="D3139" s="4" t="s">
        <v>26</v>
      </c>
      <c r="E3139" s="5" t="str">
        <f>"9350043"</f>
        <v>9350043</v>
      </c>
      <c r="F3139" s="3" t="s">
        <v>10018</v>
      </c>
      <c r="G3139" s="5">
        <v>2424022778</v>
      </c>
      <c r="H3139" s="4" t="s">
        <v>10019</v>
      </c>
      <c r="I3139" s="4" t="s">
        <v>10020</v>
      </c>
      <c r="J3139" s="4" t="s">
        <v>10020</v>
      </c>
      <c r="K3139" s="4" t="s">
        <v>10021</v>
      </c>
      <c r="L3139" s="5">
        <v>37003</v>
      </c>
    </row>
    <row r="3140" spans="1:12" x14ac:dyDescent="0.25">
      <c r="A3140" s="3" t="s">
        <v>9197</v>
      </c>
      <c r="B3140" s="4" t="s">
        <v>9762</v>
      </c>
      <c r="C3140" s="4" t="s">
        <v>14</v>
      </c>
      <c r="D3140" s="4" t="s">
        <v>15</v>
      </c>
      <c r="E3140" s="5" t="str">
        <f>"9350045"</f>
        <v>9350045</v>
      </c>
      <c r="F3140" s="3" t="s">
        <v>10022</v>
      </c>
      <c r="G3140" s="5">
        <v>2424065215</v>
      </c>
      <c r="H3140" s="4" t="s">
        <v>10023</v>
      </c>
      <c r="I3140" s="4" t="s">
        <v>10024</v>
      </c>
      <c r="J3140" s="4" t="s">
        <v>10025</v>
      </c>
      <c r="K3140" s="4" t="s">
        <v>10025</v>
      </c>
      <c r="L3140" s="5">
        <v>37005</v>
      </c>
    </row>
    <row r="3141" spans="1:12" x14ac:dyDescent="0.25">
      <c r="A3141" s="3" t="s">
        <v>9197</v>
      </c>
      <c r="B3141" s="4" t="s">
        <v>9762</v>
      </c>
      <c r="C3141" s="4" t="s">
        <v>14</v>
      </c>
      <c r="D3141" s="4" t="s">
        <v>15</v>
      </c>
      <c r="E3141" s="5" t="str">
        <f>"9350042"</f>
        <v>9350042</v>
      </c>
      <c r="F3141" s="3" t="s">
        <v>10026</v>
      </c>
      <c r="G3141" s="5">
        <v>2424022287</v>
      </c>
      <c r="H3141" s="4" t="s">
        <v>10027</v>
      </c>
      <c r="I3141" s="4" t="s">
        <v>10020</v>
      </c>
      <c r="J3141" s="4" t="s">
        <v>10021</v>
      </c>
      <c r="K3141" s="4" t="s">
        <v>10028</v>
      </c>
      <c r="L3141" s="5">
        <v>37003</v>
      </c>
    </row>
    <row r="3142" spans="1:12" x14ac:dyDescent="0.25">
      <c r="A3142" s="3" t="s">
        <v>9197</v>
      </c>
      <c r="B3142" s="4" t="s">
        <v>9762</v>
      </c>
      <c r="C3142" s="4" t="s">
        <v>25</v>
      </c>
      <c r="D3142" s="4" t="s">
        <v>26</v>
      </c>
      <c r="E3142" s="5" t="str">
        <f>"9350279"</f>
        <v>9350279</v>
      </c>
      <c r="F3142" s="3" t="s">
        <v>10029</v>
      </c>
      <c r="G3142" s="5">
        <v>2424024474</v>
      </c>
      <c r="H3142" s="4" t="s">
        <v>10030</v>
      </c>
      <c r="I3142" s="4" t="s">
        <v>10020</v>
      </c>
      <c r="J3142" s="4" t="s">
        <v>10020</v>
      </c>
      <c r="K3142" s="4" t="s">
        <v>10021</v>
      </c>
      <c r="L3142" s="5">
        <v>37003</v>
      </c>
    </row>
    <row r="3143" spans="1:12" x14ac:dyDescent="0.25">
      <c r="A3143" s="3" t="s">
        <v>9197</v>
      </c>
      <c r="B3143" s="4" t="s">
        <v>9762</v>
      </c>
      <c r="C3143" s="4" t="s">
        <v>25</v>
      </c>
      <c r="D3143" s="4" t="s">
        <v>26</v>
      </c>
      <c r="E3143" s="5" t="str">
        <f>"9350216"</f>
        <v>9350216</v>
      </c>
      <c r="F3143" s="3" t="s">
        <v>10031</v>
      </c>
      <c r="G3143" s="5">
        <v>2421091445</v>
      </c>
      <c r="H3143" s="4" t="s">
        <v>10032</v>
      </c>
      <c r="I3143" s="4" t="s">
        <v>9765</v>
      </c>
      <c r="J3143" s="4" t="s">
        <v>10033</v>
      </c>
      <c r="K3143" s="4" t="s">
        <v>10034</v>
      </c>
      <c r="L3143" s="5">
        <v>38446</v>
      </c>
    </row>
    <row r="3144" spans="1:12" x14ac:dyDescent="0.25">
      <c r="A3144" s="3" t="s">
        <v>9197</v>
      </c>
      <c r="B3144" s="4" t="s">
        <v>9762</v>
      </c>
      <c r="C3144" s="4" t="s">
        <v>14</v>
      </c>
      <c r="D3144" s="4" t="s">
        <v>15</v>
      </c>
      <c r="E3144" s="5" t="str">
        <f>"9350194"</f>
        <v>9350194</v>
      </c>
      <c r="F3144" s="3" t="s">
        <v>10035</v>
      </c>
      <c r="G3144" s="5">
        <v>2421039527</v>
      </c>
      <c r="H3144" s="4" t="s">
        <v>10036</v>
      </c>
      <c r="I3144" s="4" t="s">
        <v>9765</v>
      </c>
      <c r="J3144" s="4" t="s">
        <v>9841</v>
      </c>
      <c r="K3144" s="4" t="s">
        <v>10037</v>
      </c>
      <c r="L3144" s="5">
        <v>38221</v>
      </c>
    </row>
    <row r="3145" spans="1:12" x14ac:dyDescent="0.25">
      <c r="A3145" s="3" t="s">
        <v>9197</v>
      </c>
      <c r="B3145" s="4" t="s">
        <v>9762</v>
      </c>
      <c r="C3145" s="4" t="s">
        <v>14</v>
      </c>
      <c r="D3145" s="4" t="s">
        <v>15</v>
      </c>
      <c r="E3145" s="5" t="str">
        <f>"9350257"</f>
        <v>9350257</v>
      </c>
      <c r="F3145" s="3" t="s">
        <v>10038</v>
      </c>
      <c r="G3145" s="5">
        <v>2421084814</v>
      </c>
      <c r="H3145" s="4" t="s">
        <v>10039</v>
      </c>
      <c r="I3145" s="4" t="s">
        <v>9765</v>
      </c>
      <c r="J3145" s="4" t="s">
        <v>10040</v>
      </c>
      <c r="K3145" s="4" t="s">
        <v>9791</v>
      </c>
      <c r="L3145" s="5">
        <v>38334</v>
      </c>
    </row>
    <row r="3146" spans="1:12" x14ac:dyDescent="0.25">
      <c r="A3146" s="3" t="s">
        <v>9197</v>
      </c>
      <c r="B3146" s="4" t="s">
        <v>9762</v>
      </c>
      <c r="C3146" s="4" t="s">
        <v>14</v>
      </c>
      <c r="D3146" s="4" t="s">
        <v>15</v>
      </c>
      <c r="E3146" s="5" t="str">
        <f>"9350152"</f>
        <v>9350152</v>
      </c>
      <c r="F3146" s="3" t="s">
        <v>10041</v>
      </c>
      <c r="G3146" s="5">
        <v>2421088543</v>
      </c>
      <c r="H3146" s="4" t="s">
        <v>10042</v>
      </c>
      <c r="I3146" s="4" t="s">
        <v>9765</v>
      </c>
      <c r="J3146" s="4" t="s">
        <v>9784</v>
      </c>
      <c r="K3146" s="4" t="s">
        <v>10043</v>
      </c>
      <c r="L3146" s="5">
        <v>38334</v>
      </c>
    </row>
    <row r="3147" spans="1:12" x14ac:dyDescent="0.25">
      <c r="A3147" s="3" t="s">
        <v>9197</v>
      </c>
      <c r="B3147" s="4" t="s">
        <v>9762</v>
      </c>
      <c r="C3147" s="4" t="s">
        <v>14</v>
      </c>
      <c r="D3147" s="4" t="s">
        <v>15</v>
      </c>
      <c r="E3147" s="5" t="str">
        <f>"9350143"</f>
        <v>9350143</v>
      </c>
      <c r="F3147" s="3" t="s">
        <v>10044</v>
      </c>
      <c r="G3147" s="5">
        <v>2421085735</v>
      </c>
      <c r="H3147" s="4" t="s">
        <v>10045</v>
      </c>
      <c r="I3147" s="4" t="s">
        <v>9765</v>
      </c>
      <c r="J3147" s="4" t="s">
        <v>10046</v>
      </c>
      <c r="K3147" s="4" t="s">
        <v>10047</v>
      </c>
      <c r="L3147" s="5">
        <v>38446</v>
      </c>
    </row>
    <row r="3148" spans="1:12" x14ac:dyDescent="0.25">
      <c r="A3148" s="3" t="s">
        <v>9197</v>
      </c>
      <c r="B3148" s="4" t="s">
        <v>9762</v>
      </c>
      <c r="C3148" s="4" t="s">
        <v>14</v>
      </c>
      <c r="D3148" s="4" t="s">
        <v>15</v>
      </c>
      <c r="E3148" s="5" t="str">
        <f>"9350292"</f>
        <v>9350292</v>
      </c>
      <c r="F3148" s="3" t="s">
        <v>10048</v>
      </c>
      <c r="G3148" s="5">
        <v>2421085125</v>
      </c>
      <c r="H3148" s="4" t="s">
        <v>10049</v>
      </c>
      <c r="I3148" s="4" t="s">
        <v>9765</v>
      </c>
      <c r="J3148" s="4" t="s">
        <v>9784</v>
      </c>
      <c r="K3148" s="4" t="s">
        <v>10050</v>
      </c>
      <c r="L3148" s="5">
        <v>38500</v>
      </c>
    </row>
    <row r="3149" spans="1:12" x14ac:dyDescent="0.25">
      <c r="A3149" s="3" t="s">
        <v>9197</v>
      </c>
      <c r="B3149" s="4" t="s">
        <v>9762</v>
      </c>
      <c r="C3149" s="4" t="s">
        <v>14</v>
      </c>
      <c r="D3149" s="4" t="s">
        <v>15</v>
      </c>
      <c r="E3149" s="5" t="str">
        <f>"9350059"</f>
        <v>9350059</v>
      </c>
      <c r="F3149" s="3" t="s">
        <v>10051</v>
      </c>
      <c r="G3149" s="5">
        <v>2421039598</v>
      </c>
      <c r="H3149" s="4" t="s">
        <v>10052</v>
      </c>
      <c r="I3149" s="4" t="s">
        <v>9765</v>
      </c>
      <c r="J3149" s="4" t="s">
        <v>9784</v>
      </c>
      <c r="K3149" s="4" t="s">
        <v>10053</v>
      </c>
      <c r="L3149" s="5">
        <v>38333</v>
      </c>
    </row>
    <row r="3150" spans="1:12" x14ac:dyDescent="0.25">
      <c r="A3150" s="3" t="s">
        <v>9197</v>
      </c>
      <c r="B3150" s="4" t="s">
        <v>9762</v>
      </c>
      <c r="C3150" s="4" t="s">
        <v>14</v>
      </c>
      <c r="D3150" s="4" t="s">
        <v>15</v>
      </c>
      <c r="E3150" s="5" t="str">
        <f>"9350027"</f>
        <v>9350027</v>
      </c>
      <c r="F3150" s="3" t="s">
        <v>10054</v>
      </c>
      <c r="G3150" s="5">
        <v>2423022023</v>
      </c>
      <c r="H3150" s="4" t="s">
        <v>10055</v>
      </c>
      <c r="I3150" s="4" t="s">
        <v>9995</v>
      </c>
      <c r="J3150" s="4"/>
      <c r="K3150" s="4" t="s">
        <v>10056</v>
      </c>
      <c r="L3150" s="5">
        <v>37010</v>
      </c>
    </row>
    <row r="3151" spans="1:12" x14ac:dyDescent="0.25">
      <c r="A3151" s="3" t="s">
        <v>9197</v>
      </c>
      <c r="B3151" s="4" t="s">
        <v>9762</v>
      </c>
      <c r="C3151" s="4" t="s">
        <v>14</v>
      </c>
      <c r="D3151" s="4" t="s">
        <v>15</v>
      </c>
      <c r="E3151" s="5" t="str">
        <f>"9350151"</f>
        <v>9350151</v>
      </c>
      <c r="F3151" s="3" t="s">
        <v>10057</v>
      </c>
      <c r="G3151" s="5">
        <v>2421088130</v>
      </c>
      <c r="H3151" s="4" t="s">
        <v>10058</v>
      </c>
      <c r="I3151" s="4" t="s">
        <v>9765</v>
      </c>
      <c r="J3151" s="4" t="s">
        <v>9784</v>
      </c>
      <c r="K3151" s="4" t="s">
        <v>10059</v>
      </c>
      <c r="L3151" s="5">
        <v>38334</v>
      </c>
    </row>
    <row r="3152" spans="1:12" x14ac:dyDescent="0.25">
      <c r="A3152" s="3" t="s">
        <v>9197</v>
      </c>
      <c r="B3152" s="4" t="s">
        <v>9762</v>
      </c>
      <c r="C3152" s="4" t="s">
        <v>14</v>
      </c>
      <c r="D3152" s="4" t="s">
        <v>15</v>
      </c>
      <c r="E3152" s="5" t="str">
        <f>"9350022"</f>
        <v>9350022</v>
      </c>
      <c r="F3152" s="3" t="s">
        <v>10060</v>
      </c>
      <c r="G3152" s="5">
        <v>2423055066</v>
      </c>
      <c r="H3152" s="4" t="s">
        <v>10061</v>
      </c>
      <c r="I3152" s="4" t="s">
        <v>9995</v>
      </c>
      <c r="J3152" s="4" t="s">
        <v>6928</v>
      </c>
      <c r="K3152" s="4" t="s">
        <v>6928</v>
      </c>
      <c r="L3152" s="5">
        <v>37010</v>
      </c>
    </row>
    <row r="3153" spans="1:12" x14ac:dyDescent="0.25">
      <c r="A3153" s="3" t="s">
        <v>9197</v>
      </c>
      <c r="B3153" s="4" t="s">
        <v>9762</v>
      </c>
      <c r="C3153" s="4" t="s">
        <v>14</v>
      </c>
      <c r="D3153" s="4" t="s">
        <v>15</v>
      </c>
      <c r="E3153" s="5" t="str">
        <f>"9350258"</f>
        <v>9350258</v>
      </c>
      <c r="F3153" s="3" t="s">
        <v>10062</v>
      </c>
      <c r="G3153" s="5">
        <v>2428091393</v>
      </c>
      <c r="H3153" s="4" t="s">
        <v>10063</v>
      </c>
      <c r="I3153" s="4" t="s">
        <v>9765</v>
      </c>
      <c r="J3153" s="4" t="s">
        <v>9985</v>
      </c>
      <c r="K3153" s="4" t="s">
        <v>10064</v>
      </c>
      <c r="L3153" s="5">
        <v>37300</v>
      </c>
    </row>
    <row r="3154" spans="1:12" x14ac:dyDescent="0.25">
      <c r="A3154" s="3" t="s">
        <v>9197</v>
      </c>
      <c r="B3154" s="4" t="s">
        <v>9762</v>
      </c>
      <c r="C3154" s="4" t="s">
        <v>14</v>
      </c>
      <c r="D3154" s="4" t="s">
        <v>15</v>
      </c>
      <c r="E3154" s="5" t="str">
        <f>"9350053"</f>
        <v>9350053</v>
      </c>
      <c r="F3154" s="3" t="s">
        <v>10065</v>
      </c>
      <c r="G3154" s="5">
        <v>2421039582</v>
      </c>
      <c r="H3154" s="4" t="s">
        <v>10066</v>
      </c>
      <c r="I3154" s="4" t="s">
        <v>9765</v>
      </c>
      <c r="J3154" s="4" t="s">
        <v>9784</v>
      </c>
      <c r="K3154" s="4" t="s">
        <v>9950</v>
      </c>
      <c r="L3154" s="5">
        <v>38333</v>
      </c>
    </row>
    <row r="3155" spans="1:12" x14ac:dyDescent="0.25">
      <c r="A3155" s="3" t="s">
        <v>9197</v>
      </c>
      <c r="B3155" s="4" t="s">
        <v>9762</v>
      </c>
      <c r="C3155" s="4" t="s">
        <v>14</v>
      </c>
      <c r="D3155" s="4" t="s">
        <v>15</v>
      </c>
      <c r="E3155" s="5" t="str">
        <f>"9350281"</f>
        <v>9350281</v>
      </c>
      <c r="F3155" s="3" t="s">
        <v>10067</v>
      </c>
      <c r="G3155" s="5">
        <v>2421072383</v>
      </c>
      <c r="H3155" s="4" t="s">
        <v>10068</v>
      </c>
      <c r="I3155" s="4" t="s">
        <v>9765</v>
      </c>
      <c r="J3155" s="4" t="s">
        <v>10069</v>
      </c>
      <c r="K3155" s="4" t="s">
        <v>10070</v>
      </c>
      <c r="L3155" s="5">
        <v>38500</v>
      </c>
    </row>
    <row r="3156" spans="1:12" x14ac:dyDescent="0.25">
      <c r="A3156" s="3" t="s">
        <v>9197</v>
      </c>
      <c r="B3156" s="4" t="s">
        <v>9762</v>
      </c>
      <c r="C3156" s="4" t="s">
        <v>14</v>
      </c>
      <c r="D3156" s="4" t="s">
        <v>15</v>
      </c>
      <c r="E3156" s="5" t="str">
        <f>"9350267"</f>
        <v>9350267</v>
      </c>
      <c r="F3156" s="3" t="s">
        <v>10071</v>
      </c>
      <c r="G3156" s="5">
        <v>2427022227</v>
      </c>
      <c r="H3156" s="4" t="s">
        <v>10072</v>
      </c>
      <c r="I3156" s="4" t="s">
        <v>10073</v>
      </c>
      <c r="J3156" s="4" t="s">
        <v>10074</v>
      </c>
      <c r="K3156" s="4" t="s">
        <v>10074</v>
      </c>
      <c r="L3156" s="5">
        <v>37002</v>
      </c>
    </row>
    <row r="3157" spans="1:12" x14ac:dyDescent="0.25">
      <c r="A3157" s="3" t="s">
        <v>9197</v>
      </c>
      <c r="B3157" s="4" t="s">
        <v>9762</v>
      </c>
      <c r="C3157" s="4" t="s">
        <v>14</v>
      </c>
      <c r="D3157" s="4" t="s">
        <v>15</v>
      </c>
      <c r="E3157" s="5" t="str">
        <f>"9350280"</f>
        <v>9350280</v>
      </c>
      <c r="F3157" s="3" t="s">
        <v>10075</v>
      </c>
      <c r="G3157" s="5">
        <v>2426022628</v>
      </c>
      <c r="H3157" s="4" t="s">
        <v>10076</v>
      </c>
      <c r="I3157" s="4" t="s">
        <v>10077</v>
      </c>
      <c r="J3157" s="4" t="s">
        <v>10078</v>
      </c>
      <c r="K3157" s="4" t="s">
        <v>10078</v>
      </c>
      <c r="L3157" s="5">
        <v>37001</v>
      </c>
    </row>
    <row r="3158" spans="1:12" x14ac:dyDescent="0.25">
      <c r="A3158" s="3" t="s">
        <v>9197</v>
      </c>
      <c r="B3158" s="4" t="s">
        <v>9762</v>
      </c>
      <c r="C3158" s="4" t="s">
        <v>14</v>
      </c>
      <c r="D3158" s="4" t="s">
        <v>15</v>
      </c>
      <c r="E3158" s="5" t="str">
        <f>"9350260"</f>
        <v>9350260</v>
      </c>
      <c r="F3158" s="3" t="s">
        <v>10079</v>
      </c>
      <c r="G3158" s="5">
        <v>2425022523</v>
      </c>
      <c r="H3158" s="4" t="s">
        <v>10080</v>
      </c>
      <c r="I3158" s="4" t="s">
        <v>9922</v>
      </c>
      <c r="J3158" s="4" t="s">
        <v>9924</v>
      </c>
      <c r="K3158" s="4" t="s">
        <v>10081</v>
      </c>
      <c r="L3158" s="5">
        <v>37500</v>
      </c>
    </row>
    <row r="3159" spans="1:12" ht="30" x14ac:dyDescent="0.25">
      <c r="A3159" s="3" t="s">
        <v>9197</v>
      </c>
      <c r="B3159" s="4" t="s">
        <v>9762</v>
      </c>
      <c r="C3159" s="4" t="s">
        <v>14</v>
      </c>
      <c r="D3159" s="4" t="s">
        <v>830</v>
      </c>
      <c r="E3159" s="5" t="str">
        <f>"9350107"</f>
        <v>9350107</v>
      </c>
      <c r="F3159" s="3" t="s">
        <v>10082</v>
      </c>
      <c r="G3159" s="5">
        <v>2428090240</v>
      </c>
      <c r="H3159" s="4" t="s">
        <v>10083</v>
      </c>
      <c r="I3159" s="4" t="s">
        <v>9765</v>
      </c>
      <c r="J3159" s="4" t="s">
        <v>10084</v>
      </c>
      <c r="K3159" s="4" t="s">
        <v>10084</v>
      </c>
      <c r="L3159" s="5">
        <v>37011</v>
      </c>
    </row>
    <row r="3160" spans="1:12" x14ac:dyDescent="0.25">
      <c r="A3160" s="3" t="s">
        <v>9197</v>
      </c>
      <c r="B3160" s="4" t="s">
        <v>9762</v>
      </c>
      <c r="C3160" s="4" t="s">
        <v>14</v>
      </c>
      <c r="D3160" s="4" t="s">
        <v>15</v>
      </c>
      <c r="E3160" s="5" t="str">
        <f>"9350268"</f>
        <v>9350268</v>
      </c>
      <c r="F3160" s="3" t="s">
        <v>10085</v>
      </c>
      <c r="G3160" s="5">
        <v>2427022504</v>
      </c>
      <c r="H3160" s="4" t="s">
        <v>10086</v>
      </c>
      <c r="I3160" s="4" t="s">
        <v>10073</v>
      </c>
      <c r="J3160" s="4" t="s">
        <v>10074</v>
      </c>
      <c r="K3160" s="4" t="s">
        <v>10085</v>
      </c>
      <c r="L3160" s="5">
        <v>37002</v>
      </c>
    </row>
    <row r="3161" spans="1:12" ht="30" x14ac:dyDescent="0.25">
      <c r="A3161" s="3" t="s">
        <v>9197</v>
      </c>
      <c r="B3161" s="4" t="s">
        <v>9762</v>
      </c>
      <c r="C3161" s="4" t="s">
        <v>14</v>
      </c>
      <c r="D3161" s="4" t="s">
        <v>15</v>
      </c>
      <c r="E3161" s="5" t="str">
        <f>"9350261"</f>
        <v>9350261</v>
      </c>
      <c r="F3161" s="3" t="s">
        <v>10087</v>
      </c>
      <c r="G3161" s="5">
        <v>2425022939</v>
      </c>
      <c r="H3161" s="4" t="s">
        <v>10088</v>
      </c>
      <c r="I3161" s="4" t="s">
        <v>9922</v>
      </c>
      <c r="J3161" s="4" t="s">
        <v>9924</v>
      </c>
      <c r="K3161" s="4" t="s">
        <v>9924</v>
      </c>
      <c r="L3161" s="5">
        <v>37500</v>
      </c>
    </row>
    <row r="3162" spans="1:12" x14ac:dyDescent="0.25">
      <c r="A3162" s="3" t="s">
        <v>9197</v>
      </c>
      <c r="B3162" s="4" t="s">
        <v>9762</v>
      </c>
      <c r="C3162" s="4" t="s">
        <v>14</v>
      </c>
      <c r="D3162" s="4" t="s">
        <v>15</v>
      </c>
      <c r="E3162" s="5" t="str">
        <f>"9350089"</f>
        <v>9350089</v>
      </c>
      <c r="F3162" s="3" t="s">
        <v>10089</v>
      </c>
      <c r="G3162" s="5">
        <v>2428073213</v>
      </c>
      <c r="H3162" s="4" t="s">
        <v>10090</v>
      </c>
      <c r="I3162" s="4" t="s">
        <v>9922</v>
      </c>
      <c r="J3162" s="4" t="s">
        <v>10091</v>
      </c>
      <c r="K3162" s="4" t="s">
        <v>10091</v>
      </c>
      <c r="L3162" s="5">
        <v>38500</v>
      </c>
    </row>
    <row r="3163" spans="1:12" x14ac:dyDescent="0.25">
      <c r="A3163" s="3" t="s">
        <v>9197</v>
      </c>
      <c r="B3163" s="4" t="s">
        <v>9762</v>
      </c>
      <c r="C3163" s="4" t="s">
        <v>25</v>
      </c>
      <c r="D3163" s="4" t="s">
        <v>26</v>
      </c>
      <c r="E3163" s="5" t="str">
        <f>"9350050"</f>
        <v>9350050</v>
      </c>
      <c r="F3163" s="3" t="s">
        <v>10092</v>
      </c>
      <c r="G3163" s="5">
        <v>2427021171</v>
      </c>
      <c r="H3163" s="4" t="s">
        <v>10093</v>
      </c>
      <c r="I3163" s="4" t="s">
        <v>10073</v>
      </c>
      <c r="J3163" s="4" t="s">
        <v>10073</v>
      </c>
      <c r="K3163" s="4" t="s">
        <v>10074</v>
      </c>
      <c r="L3163" s="5">
        <v>37002</v>
      </c>
    </row>
    <row r="3164" spans="1:12" x14ac:dyDescent="0.25">
      <c r="A3164" s="3" t="s">
        <v>9197</v>
      </c>
      <c r="B3164" s="4" t="s">
        <v>9762</v>
      </c>
      <c r="C3164" s="4" t="s">
        <v>25</v>
      </c>
      <c r="D3164" s="4" t="s">
        <v>26</v>
      </c>
      <c r="E3164" s="5" t="str">
        <f>"9350189"</f>
        <v>9350189</v>
      </c>
      <c r="F3164" s="3" t="s">
        <v>10094</v>
      </c>
      <c r="G3164" s="5">
        <v>2425023836</v>
      </c>
      <c r="H3164" s="4" t="s">
        <v>10095</v>
      </c>
      <c r="I3164" s="4" t="s">
        <v>9922</v>
      </c>
      <c r="J3164" s="4" t="s">
        <v>9923</v>
      </c>
      <c r="K3164" s="4" t="s">
        <v>9924</v>
      </c>
      <c r="L3164" s="5">
        <v>37500</v>
      </c>
    </row>
    <row r="3165" spans="1:12" x14ac:dyDescent="0.25">
      <c r="A3165" s="3" t="s">
        <v>9197</v>
      </c>
      <c r="B3165" s="4" t="s">
        <v>9762</v>
      </c>
      <c r="C3165" s="4" t="s">
        <v>14</v>
      </c>
      <c r="D3165" s="4" t="s">
        <v>15</v>
      </c>
      <c r="E3165" s="5" t="str">
        <f>"9350008"</f>
        <v>9350008</v>
      </c>
      <c r="F3165" s="3" t="s">
        <v>10096</v>
      </c>
      <c r="G3165" s="5">
        <v>2421039561</v>
      </c>
      <c r="H3165" s="4" t="s">
        <v>10097</v>
      </c>
      <c r="I3165" s="4" t="s">
        <v>9765</v>
      </c>
      <c r="J3165" s="4" t="s">
        <v>9784</v>
      </c>
      <c r="K3165" s="4" t="s">
        <v>3501</v>
      </c>
      <c r="L3165" s="5">
        <v>38222</v>
      </c>
    </row>
    <row r="3166" spans="1:12" x14ac:dyDescent="0.25">
      <c r="A3166" s="3" t="s">
        <v>9197</v>
      </c>
      <c r="B3166" s="4" t="s">
        <v>9762</v>
      </c>
      <c r="C3166" s="4" t="s">
        <v>14</v>
      </c>
      <c r="D3166" s="4" t="s">
        <v>15</v>
      </c>
      <c r="E3166" s="5" t="str">
        <f>"9350136"</f>
        <v>9350136</v>
      </c>
      <c r="F3166" s="3" t="s">
        <v>10098</v>
      </c>
      <c r="G3166" s="5">
        <v>2422031420</v>
      </c>
      <c r="H3166" s="4" t="s">
        <v>10099</v>
      </c>
      <c r="I3166" s="4" t="s">
        <v>9774</v>
      </c>
      <c r="J3166" s="4" t="s">
        <v>10100</v>
      </c>
      <c r="K3166" s="4" t="s">
        <v>10100</v>
      </c>
      <c r="L3166" s="5">
        <v>37008</v>
      </c>
    </row>
    <row r="3167" spans="1:12" x14ac:dyDescent="0.25">
      <c r="A3167" s="3" t="s">
        <v>9197</v>
      </c>
      <c r="B3167" s="4" t="s">
        <v>9762</v>
      </c>
      <c r="C3167" s="4" t="s">
        <v>14</v>
      </c>
      <c r="D3167" s="4" t="s">
        <v>15</v>
      </c>
      <c r="E3167" s="5" t="str">
        <f>"9350072"</f>
        <v>9350072</v>
      </c>
      <c r="F3167" s="3" t="s">
        <v>10101</v>
      </c>
      <c r="G3167" s="5">
        <v>2421072375</v>
      </c>
      <c r="H3167" s="4" t="s">
        <v>10102</v>
      </c>
      <c r="I3167" s="4" t="s">
        <v>9765</v>
      </c>
      <c r="J3167" s="4" t="s">
        <v>9784</v>
      </c>
      <c r="K3167" s="4" t="s">
        <v>10103</v>
      </c>
      <c r="L3167" s="5">
        <v>38223</v>
      </c>
    </row>
    <row r="3168" spans="1:12" x14ac:dyDescent="0.25">
      <c r="A3168" s="3" t="s">
        <v>9197</v>
      </c>
      <c r="B3168" s="4" t="s">
        <v>9762</v>
      </c>
      <c r="C3168" s="4" t="s">
        <v>14</v>
      </c>
      <c r="D3168" s="4" t="s">
        <v>15</v>
      </c>
      <c r="E3168" s="5" t="str">
        <f>"9350113"</f>
        <v>9350113</v>
      </c>
      <c r="F3168" s="3" t="s">
        <v>10104</v>
      </c>
      <c r="G3168" s="5">
        <v>2422021701</v>
      </c>
      <c r="H3168" s="4" t="s">
        <v>10105</v>
      </c>
      <c r="I3168" s="4" t="s">
        <v>9774</v>
      </c>
      <c r="J3168" s="4" t="s">
        <v>9824</v>
      </c>
      <c r="K3168" s="4" t="s">
        <v>10106</v>
      </c>
      <c r="L3168" s="5">
        <v>37100</v>
      </c>
    </row>
    <row r="3169" spans="1:12" x14ac:dyDescent="0.25">
      <c r="A3169" s="3" t="s">
        <v>9197</v>
      </c>
      <c r="B3169" s="4" t="s">
        <v>9762</v>
      </c>
      <c r="C3169" s="4" t="s">
        <v>14</v>
      </c>
      <c r="D3169" s="4" t="s">
        <v>15</v>
      </c>
      <c r="E3169" s="5" t="str">
        <f>"9350002"</f>
        <v>9350002</v>
      </c>
      <c r="F3169" s="3" t="s">
        <v>10107</v>
      </c>
      <c r="G3169" s="5">
        <v>2421072368</v>
      </c>
      <c r="H3169" s="4" t="s">
        <v>10108</v>
      </c>
      <c r="I3169" s="4" t="s">
        <v>9765</v>
      </c>
      <c r="J3169" s="4" t="s">
        <v>9784</v>
      </c>
      <c r="K3169" s="4" t="s">
        <v>10109</v>
      </c>
      <c r="L3169" s="5">
        <v>38221</v>
      </c>
    </row>
    <row r="3170" spans="1:12" x14ac:dyDescent="0.25">
      <c r="A3170" s="3" t="s">
        <v>9197</v>
      </c>
      <c r="B3170" s="4" t="s">
        <v>9762</v>
      </c>
      <c r="C3170" s="4" t="s">
        <v>25</v>
      </c>
      <c r="D3170" s="4" t="s">
        <v>26</v>
      </c>
      <c r="E3170" s="5" t="str">
        <f>"9521379"</f>
        <v>9521379</v>
      </c>
      <c r="F3170" s="3" t="s">
        <v>10110</v>
      </c>
      <c r="G3170" s="5">
        <v>2427029313</v>
      </c>
      <c r="H3170" s="4" t="s">
        <v>10111</v>
      </c>
      <c r="I3170" s="4" t="s">
        <v>10073</v>
      </c>
      <c r="J3170" s="4" t="s">
        <v>10073</v>
      </c>
      <c r="K3170" s="4" t="s">
        <v>10074</v>
      </c>
      <c r="L3170" s="5">
        <v>37002</v>
      </c>
    </row>
    <row r="3171" spans="1:12" x14ac:dyDescent="0.25">
      <c r="A3171" s="3" t="s">
        <v>9197</v>
      </c>
      <c r="B3171" s="4" t="s">
        <v>9762</v>
      </c>
      <c r="C3171" s="4" t="s">
        <v>25</v>
      </c>
      <c r="D3171" s="4" t="s">
        <v>26</v>
      </c>
      <c r="E3171" s="5" t="str">
        <f>"9350147"</f>
        <v>9350147</v>
      </c>
      <c r="F3171" s="3" t="s">
        <v>10112</v>
      </c>
      <c r="G3171" s="5">
        <v>2421085745</v>
      </c>
      <c r="H3171" s="4" t="s">
        <v>10113</v>
      </c>
      <c r="I3171" s="4" t="s">
        <v>9765</v>
      </c>
      <c r="J3171" s="4" t="s">
        <v>3257</v>
      </c>
      <c r="K3171" s="4" t="s">
        <v>10114</v>
      </c>
      <c r="L3171" s="5">
        <v>38446</v>
      </c>
    </row>
    <row r="3172" spans="1:12" x14ac:dyDescent="0.25">
      <c r="A3172" s="3" t="s">
        <v>9197</v>
      </c>
      <c r="B3172" s="4" t="s">
        <v>9762</v>
      </c>
      <c r="C3172" s="4" t="s">
        <v>25</v>
      </c>
      <c r="D3172" s="4" t="s">
        <v>26</v>
      </c>
      <c r="E3172" s="5" t="str">
        <f>"9521377"</f>
        <v>9521377</v>
      </c>
      <c r="F3172" s="3" t="s">
        <v>10115</v>
      </c>
      <c r="G3172" s="5">
        <v>2422350537</v>
      </c>
      <c r="H3172" s="4" t="s">
        <v>10116</v>
      </c>
      <c r="I3172" s="4" t="s">
        <v>9774</v>
      </c>
      <c r="J3172" s="4" t="s">
        <v>9824</v>
      </c>
      <c r="K3172" s="4" t="s">
        <v>10117</v>
      </c>
      <c r="L3172" s="5">
        <v>37100</v>
      </c>
    </row>
    <row r="3173" spans="1:12" x14ac:dyDescent="0.25">
      <c r="A3173" s="3" t="s">
        <v>9197</v>
      </c>
      <c r="B3173" s="4" t="s">
        <v>10118</v>
      </c>
      <c r="C3173" s="4" t="s">
        <v>25</v>
      </c>
      <c r="D3173" s="4" t="s">
        <v>26</v>
      </c>
      <c r="E3173" s="5" t="str">
        <f>"9450016"</f>
        <v>9450016</v>
      </c>
      <c r="F3173" s="3" t="s">
        <v>10119</v>
      </c>
      <c r="G3173" s="5">
        <v>2431037559</v>
      </c>
      <c r="H3173" s="4" t="s">
        <v>10120</v>
      </c>
      <c r="I3173" s="4" t="s">
        <v>10121</v>
      </c>
      <c r="J3173" s="4" t="s">
        <v>10122</v>
      </c>
      <c r="K3173" s="4" t="s">
        <v>10123</v>
      </c>
      <c r="L3173" s="5">
        <v>42100</v>
      </c>
    </row>
    <row r="3174" spans="1:12" x14ac:dyDescent="0.25">
      <c r="A3174" s="3" t="s">
        <v>9197</v>
      </c>
      <c r="B3174" s="4" t="s">
        <v>10118</v>
      </c>
      <c r="C3174" s="4" t="s">
        <v>25</v>
      </c>
      <c r="D3174" s="4" t="s">
        <v>26</v>
      </c>
      <c r="E3174" s="5" t="str">
        <f>"9450218"</f>
        <v>9450218</v>
      </c>
      <c r="F3174" s="3" t="s">
        <v>10124</v>
      </c>
      <c r="G3174" s="5">
        <v>2431074252</v>
      </c>
      <c r="H3174" s="4" t="s">
        <v>10125</v>
      </c>
      <c r="I3174" s="4" t="s">
        <v>10121</v>
      </c>
      <c r="J3174" s="4" t="s">
        <v>10122</v>
      </c>
      <c r="K3174" s="4" t="s">
        <v>10126</v>
      </c>
      <c r="L3174" s="5">
        <v>42100</v>
      </c>
    </row>
    <row r="3175" spans="1:12" x14ac:dyDescent="0.25">
      <c r="A3175" s="3" t="s">
        <v>9197</v>
      </c>
      <c r="B3175" s="4" t="s">
        <v>10118</v>
      </c>
      <c r="C3175" s="4" t="s">
        <v>25</v>
      </c>
      <c r="D3175" s="4" t="s">
        <v>26</v>
      </c>
      <c r="E3175" s="5" t="str">
        <f>"9450354"</f>
        <v>9450354</v>
      </c>
      <c r="F3175" s="3" t="s">
        <v>10127</v>
      </c>
      <c r="G3175" s="5">
        <v>2431030579</v>
      </c>
      <c r="H3175" s="4" t="s">
        <v>10128</v>
      </c>
      <c r="I3175" s="4" t="s">
        <v>10121</v>
      </c>
      <c r="J3175" s="4" t="s">
        <v>10122</v>
      </c>
      <c r="K3175" s="4" t="s">
        <v>10129</v>
      </c>
      <c r="L3175" s="5">
        <v>42100</v>
      </c>
    </row>
    <row r="3176" spans="1:12" x14ac:dyDescent="0.25">
      <c r="A3176" s="3" t="s">
        <v>9197</v>
      </c>
      <c r="B3176" s="4" t="s">
        <v>10118</v>
      </c>
      <c r="C3176" s="4" t="s">
        <v>25</v>
      </c>
      <c r="D3176" s="4" t="s">
        <v>26</v>
      </c>
      <c r="E3176" s="5" t="str">
        <f>"9450332"</f>
        <v>9450332</v>
      </c>
      <c r="F3176" s="3" t="s">
        <v>10130</v>
      </c>
      <c r="G3176" s="5">
        <v>2431034513</v>
      </c>
      <c r="H3176" s="4" t="s">
        <v>10131</v>
      </c>
      <c r="I3176" s="4" t="s">
        <v>10121</v>
      </c>
      <c r="J3176" s="4" t="s">
        <v>10122</v>
      </c>
      <c r="K3176" s="4" t="s">
        <v>10132</v>
      </c>
      <c r="L3176" s="5">
        <v>42132</v>
      </c>
    </row>
    <row r="3177" spans="1:12" x14ac:dyDescent="0.25">
      <c r="A3177" s="3" t="s">
        <v>9197</v>
      </c>
      <c r="B3177" s="4" t="s">
        <v>10118</v>
      </c>
      <c r="C3177" s="4" t="s">
        <v>25</v>
      </c>
      <c r="D3177" s="4" t="s">
        <v>26</v>
      </c>
      <c r="E3177" s="5" t="str">
        <f>"9450329"</f>
        <v>9450329</v>
      </c>
      <c r="F3177" s="3" t="s">
        <v>10133</v>
      </c>
      <c r="G3177" s="5">
        <v>2431602017</v>
      </c>
      <c r="H3177" s="4" t="s">
        <v>10134</v>
      </c>
      <c r="I3177" s="4" t="s">
        <v>10121</v>
      </c>
      <c r="J3177" s="4" t="s">
        <v>10135</v>
      </c>
      <c r="K3177" s="4" t="s">
        <v>10136</v>
      </c>
      <c r="L3177" s="5">
        <v>42100</v>
      </c>
    </row>
    <row r="3178" spans="1:12" x14ac:dyDescent="0.25">
      <c r="A3178" s="3" t="s">
        <v>9197</v>
      </c>
      <c r="B3178" s="4" t="s">
        <v>10118</v>
      </c>
      <c r="C3178" s="4" t="s">
        <v>25</v>
      </c>
      <c r="D3178" s="4" t="s">
        <v>26</v>
      </c>
      <c r="E3178" s="5" t="str">
        <f>"9450353"</f>
        <v>9450353</v>
      </c>
      <c r="F3178" s="3" t="s">
        <v>10137</v>
      </c>
      <c r="G3178" s="5">
        <v>2431033107</v>
      </c>
      <c r="H3178" s="4" t="s">
        <v>10138</v>
      </c>
      <c r="I3178" s="4" t="s">
        <v>10121</v>
      </c>
      <c r="J3178" s="4" t="s">
        <v>10122</v>
      </c>
      <c r="K3178" s="4" t="s">
        <v>10139</v>
      </c>
      <c r="L3178" s="5">
        <v>42100</v>
      </c>
    </row>
    <row r="3179" spans="1:12" x14ac:dyDescent="0.25">
      <c r="A3179" s="3" t="s">
        <v>9197</v>
      </c>
      <c r="B3179" s="4" t="s">
        <v>10118</v>
      </c>
      <c r="C3179" s="4" t="s">
        <v>25</v>
      </c>
      <c r="D3179" s="4" t="s">
        <v>26</v>
      </c>
      <c r="E3179" s="5" t="str">
        <f>"9450215"</f>
        <v>9450215</v>
      </c>
      <c r="F3179" s="3" t="s">
        <v>10140</v>
      </c>
      <c r="G3179" s="5">
        <v>2431037802</v>
      </c>
      <c r="H3179" s="4" t="s">
        <v>10141</v>
      </c>
      <c r="I3179" s="4" t="s">
        <v>10121</v>
      </c>
      <c r="J3179" s="4" t="s">
        <v>10122</v>
      </c>
      <c r="K3179" s="4" t="s">
        <v>10142</v>
      </c>
      <c r="L3179" s="5">
        <v>42131</v>
      </c>
    </row>
    <row r="3180" spans="1:12" x14ac:dyDescent="0.25">
      <c r="A3180" s="3" t="s">
        <v>9197</v>
      </c>
      <c r="B3180" s="4" t="s">
        <v>10118</v>
      </c>
      <c r="C3180" s="4" t="s">
        <v>25</v>
      </c>
      <c r="D3180" s="4" t="s">
        <v>26</v>
      </c>
      <c r="E3180" s="5" t="str">
        <f>"9450398"</f>
        <v>9450398</v>
      </c>
      <c r="F3180" s="3" t="s">
        <v>10143</v>
      </c>
      <c r="G3180" s="5">
        <v>2431076361</v>
      </c>
      <c r="H3180" s="4" t="s">
        <v>10144</v>
      </c>
      <c r="I3180" s="4" t="s">
        <v>10121</v>
      </c>
      <c r="J3180" s="4" t="s">
        <v>10122</v>
      </c>
      <c r="K3180" s="4" t="s">
        <v>10145</v>
      </c>
      <c r="L3180" s="5">
        <v>42131</v>
      </c>
    </row>
    <row r="3181" spans="1:12" x14ac:dyDescent="0.25">
      <c r="A3181" s="3" t="s">
        <v>9197</v>
      </c>
      <c r="B3181" s="4" t="s">
        <v>10118</v>
      </c>
      <c r="C3181" s="4" t="s">
        <v>25</v>
      </c>
      <c r="D3181" s="4" t="s">
        <v>26</v>
      </c>
      <c r="E3181" s="5" t="str">
        <f>"9450331"</f>
        <v>9450331</v>
      </c>
      <c r="F3181" s="3" t="s">
        <v>10146</v>
      </c>
      <c r="G3181" s="5">
        <v>2431074871</v>
      </c>
      <c r="H3181" s="4" t="s">
        <v>10147</v>
      </c>
      <c r="I3181" s="4" t="s">
        <v>10121</v>
      </c>
      <c r="J3181" s="4" t="s">
        <v>10122</v>
      </c>
      <c r="K3181" s="4" t="s">
        <v>273</v>
      </c>
      <c r="L3181" s="5">
        <v>42100</v>
      </c>
    </row>
    <row r="3182" spans="1:12" x14ac:dyDescent="0.25">
      <c r="A3182" s="3" t="s">
        <v>9197</v>
      </c>
      <c r="B3182" s="4" t="s">
        <v>10118</v>
      </c>
      <c r="C3182" s="4" t="s">
        <v>25</v>
      </c>
      <c r="D3182" s="4" t="s">
        <v>26</v>
      </c>
      <c r="E3182" s="5" t="str">
        <f>"9450302"</f>
        <v>9450302</v>
      </c>
      <c r="F3182" s="3" t="s">
        <v>10148</v>
      </c>
      <c r="G3182" s="5">
        <v>2431026637</v>
      </c>
      <c r="H3182" s="4" t="s">
        <v>10149</v>
      </c>
      <c r="I3182" s="4" t="s">
        <v>10121</v>
      </c>
      <c r="J3182" s="4" t="s">
        <v>10122</v>
      </c>
      <c r="K3182" s="4" t="s">
        <v>10150</v>
      </c>
      <c r="L3182" s="5">
        <v>42131</v>
      </c>
    </row>
    <row r="3183" spans="1:12" x14ac:dyDescent="0.25">
      <c r="A3183" s="3" t="s">
        <v>9197</v>
      </c>
      <c r="B3183" s="4" t="s">
        <v>10118</v>
      </c>
      <c r="C3183" s="4" t="s">
        <v>14</v>
      </c>
      <c r="D3183" s="4" t="s">
        <v>15</v>
      </c>
      <c r="E3183" s="5" t="str">
        <f>"9450381"</f>
        <v>9450381</v>
      </c>
      <c r="F3183" s="3" t="s">
        <v>10151</v>
      </c>
      <c r="G3183" s="5">
        <v>2431039188</v>
      </c>
      <c r="H3183" s="4" t="s">
        <v>10152</v>
      </c>
      <c r="I3183" s="4" t="s">
        <v>10121</v>
      </c>
      <c r="J3183" s="4" t="s">
        <v>10153</v>
      </c>
      <c r="K3183" s="4" t="s">
        <v>10154</v>
      </c>
      <c r="L3183" s="5">
        <v>42100</v>
      </c>
    </row>
    <row r="3184" spans="1:12" x14ac:dyDescent="0.25">
      <c r="A3184" s="3" t="s">
        <v>9197</v>
      </c>
      <c r="B3184" s="4" t="s">
        <v>10118</v>
      </c>
      <c r="C3184" s="4" t="s">
        <v>14</v>
      </c>
      <c r="D3184" s="4" t="s">
        <v>15</v>
      </c>
      <c r="E3184" s="5" t="str">
        <f>"9450344"</f>
        <v>9450344</v>
      </c>
      <c r="F3184" s="3" t="s">
        <v>10155</v>
      </c>
      <c r="G3184" s="5">
        <v>2431601938</v>
      </c>
      <c r="H3184" s="4" t="s">
        <v>10156</v>
      </c>
      <c r="I3184" s="4" t="s">
        <v>10121</v>
      </c>
      <c r="J3184" s="4" t="s">
        <v>10157</v>
      </c>
      <c r="K3184" s="4" t="s">
        <v>8786</v>
      </c>
      <c r="L3184" s="5">
        <v>42131</v>
      </c>
    </row>
    <row r="3185" spans="1:12" x14ac:dyDescent="0.25">
      <c r="A3185" s="3" t="s">
        <v>9197</v>
      </c>
      <c r="B3185" s="4" t="s">
        <v>10118</v>
      </c>
      <c r="C3185" s="4" t="s">
        <v>14</v>
      </c>
      <c r="D3185" s="4" t="s">
        <v>15</v>
      </c>
      <c r="E3185" s="5" t="str">
        <f>"9450117"</f>
        <v>9450117</v>
      </c>
      <c r="F3185" s="3" t="s">
        <v>10158</v>
      </c>
      <c r="G3185" s="5">
        <v>2433031275</v>
      </c>
      <c r="H3185" s="4" t="s">
        <v>10159</v>
      </c>
      <c r="I3185" s="4" t="s">
        <v>10160</v>
      </c>
      <c r="J3185" s="4" t="s">
        <v>10161</v>
      </c>
      <c r="K3185" s="4" t="s">
        <v>10162</v>
      </c>
      <c r="L3185" s="5">
        <v>42300</v>
      </c>
    </row>
    <row r="3186" spans="1:12" x14ac:dyDescent="0.25">
      <c r="A3186" s="3" t="s">
        <v>9197</v>
      </c>
      <c r="B3186" s="4" t="s">
        <v>10118</v>
      </c>
      <c r="C3186" s="4" t="s">
        <v>14</v>
      </c>
      <c r="D3186" s="4" t="s">
        <v>179</v>
      </c>
      <c r="E3186" s="5" t="str">
        <f>"9450272"</f>
        <v>9450272</v>
      </c>
      <c r="F3186" s="3" t="s">
        <v>10163</v>
      </c>
      <c r="G3186" s="5">
        <v>2431023993</v>
      </c>
      <c r="H3186" s="4" t="s">
        <v>10164</v>
      </c>
      <c r="I3186" s="4" t="s">
        <v>10121</v>
      </c>
      <c r="J3186" s="4" t="s">
        <v>10157</v>
      </c>
      <c r="K3186" s="4" t="s">
        <v>10165</v>
      </c>
      <c r="L3186" s="5">
        <v>42132</v>
      </c>
    </row>
    <row r="3187" spans="1:12" x14ac:dyDescent="0.25">
      <c r="A3187" s="3" t="s">
        <v>9197</v>
      </c>
      <c r="B3187" s="4" t="s">
        <v>10118</v>
      </c>
      <c r="C3187" s="4" t="s">
        <v>14</v>
      </c>
      <c r="D3187" s="4" t="s">
        <v>15</v>
      </c>
      <c r="E3187" s="5" t="str">
        <f>"9450212"</f>
        <v>9450212</v>
      </c>
      <c r="F3187" s="3" t="s">
        <v>10166</v>
      </c>
      <c r="G3187" s="5">
        <v>2431020023</v>
      </c>
      <c r="H3187" s="4" t="s">
        <v>10167</v>
      </c>
      <c r="I3187" s="4" t="s">
        <v>10121</v>
      </c>
      <c r="J3187" s="4" t="s">
        <v>10153</v>
      </c>
      <c r="K3187" s="4" t="s">
        <v>10168</v>
      </c>
      <c r="L3187" s="5">
        <v>42100</v>
      </c>
    </row>
    <row r="3188" spans="1:12" x14ac:dyDescent="0.25">
      <c r="A3188" s="3" t="s">
        <v>9197</v>
      </c>
      <c r="B3188" s="4" t="s">
        <v>10118</v>
      </c>
      <c r="C3188" s="4" t="s">
        <v>14</v>
      </c>
      <c r="D3188" s="4" t="s">
        <v>15</v>
      </c>
      <c r="E3188" s="5" t="str">
        <f>"9450088"</f>
        <v>9450088</v>
      </c>
      <c r="F3188" s="3" t="s">
        <v>10169</v>
      </c>
      <c r="G3188" s="5">
        <v>2431033710</v>
      </c>
      <c r="H3188" s="4" t="s">
        <v>10170</v>
      </c>
      <c r="I3188" s="4" t="s">
        <v>10121</v>
      </c>
      <c r="J3188" s="4" t="s">
        <v>10157</v>
      </c>
      <c r="K3188" s="4" t="s">
        <v>10171</v>
      </c>
      <c r="L3188" s="5">
        <v>42100</v>
      </c>
    </row>
    <row r="3189" spans="1:12" x14ac:dyDescent="0.25">
      <c r="A3189" s="3" t="s">
        <v>9197</v>
      </c>
      <c r="B3189" s="4" t="s">
        <v>10118</v>
      </c>
      <c r="C3189" s="4" t="s">
        <v>14</v>
      </c>
      <c r="D3189" s="4" t="s">
        <v>15</v>
      </c>
      <c r="E3189" s="5" t="str">
        <f>"9450116"</f>
        <v>9450116</v>
      </c>
      <c r="F3189" s="3" t="s">
        <v>10172</v>
      </c>
      <c r="G3189" s="5">
        <v>2433031045</v>
      </c>
      <c r="H3189" s="4" t="s">
        <v>10173</v>
      </c>
      <c r="I3189" s="4" t="s">
        <v>10160</v>
      </c>
      <c r="J3189" s="4" t="s">
        <v>10161</v>
      </c>
      <c r="K3189" s="4" t="s">
        <v>10174</v>
      </c>
      <c r="L3189" s="5">
        <v>42300</v>
      </c>
    </row>
    <row r="3190" spans="1:12" x14ac:dyDescent="0.25">
      <c r="A3190" s="3" t="s">
        <v>9197</v>
      </c>
      <c r="B3190" s="4" t="s">
        <v>10118</v>
      </c>
      <c r="C3190" s="4" t="s">
        <v>14</v>
      </c>
      <c r="D3190" s="4" t="s">
        <v>15</v>
      </c>
      <c r="E3190" s="5" t="str">
        <f>"9450336"</f>
        <v>9450336</v>
      </c>
      <c r="F3190" s="3" t="s">
        <v>10175</v>
      </c>
      <c r="G3190" s="5">
        <v>2431032886</v>
      </c>
      <c r="H3190" s="4" t="s">
        <v>10176</v>
      </c>
      <c r="I3190" s="4" t="s">
        <v>10121</v>
      </c>
      <c r="J3190" s="4" t="s">
        <v>10157</v>
      </c>
      <c r="K3190" s="4" t="s">
        <v>10177</v>
      </c>
      <c r="L3190" s="5">
        <v>42100</v>
      </c>
    </row>
    <row r="3191" spans="1:12" x14ac:dyDescent="0.25">
      <c r="A3191" s="3" t="s">
        <v>9197</v>
      </c>
      <c r="B3191" s="4" t="s">
        <v>10118</v>
      </c>
      <c r="C3191" s="4" t="s">
        <v>14</v>
      </c>
      <c r="D3191" s="4" t="s">
        <v>15</v>
      </c>
      <c r="E3191" s="5" t="str">
        <f>"9450015"</f>
        <v>9450015</v>
      </c>
      <c r="F3191" s="3" t="s">
        <v>10178</v>
      </c>
      <c r="G3191" s="5">
        <v>2431028807</v>
      </c>
      <c r="H3191" s="4" t="s">
        <v>10179</v>
      </c>
      <c r="I3191" s="4" t="s">
        <v>10121</v>
      </c>
      <c r="J3191" s="4" t="s">
        <v>10157</v>
      </c>
      <c r="K3191" s="4" t="s">
        <v>10180</v>
      </c>
      <c r="L3191" s="5">
        <v>42131</v>
      </c>
    </row>
    <row r="3192" spans="1:12" x14ac:dyDescent="0.25">
      <c r="A3192" s="3" t="s">
        <v>9197</v>
      </c>
      <c r="B3192" s="4" t="s">
        <v>10118</v>
      </c>
      <c r="C3192" s="4" t="s">
        <v>14</v>
      </c>
      <c r="D3192" s="4" t="s">
        <v>15</v>
      </c>
      <c r="E3192" s="5" t="str">
        <f>"9450130"</f>
        <v>9450130</v>
      </c>
      <c r="F3192" s="3" t="s">
        <v>10181</v>
      </c>
      <c r="G3192" s="5">
        <v>2432022381</v>
      </c>
      <c r="H3192" s="4" t="s">
        <v>10182</v>
      </c>
      <c r="I3192" s="4" t="s">
        <v>10183</v>
      </c>
      <c r="J3192" s="4" t="s">
        <v>10184</v>
      </c>
      <c r="K3192" s="4" t="s">
        <v>10185</v>
      </c>
      <c r="L3192" s="5">
        <v>42200</v>
      </c>
    </row>
    <row r="3193" spans="1:12" x14ac:dyDescent="0.25">
      <c r="A3193" s="3" t="s">
        <v>9197</v>
      </c>
      <c r="B3193" s="4" t="s">
        <v>10118</v>
      </c>
      <c r="C3193" s="4" t="s">
        <v>14</v>
      </c>
      <c r="D3193" s="4" t="s">
        <v>15</v>
      </c>
      <c r="E3193" s="5" t="str">
        <f>"9450216"</f>
        <v>9450216</v>
      </c>
      <c r="F3193" s="3" t="s">
        <v>10186</v>
      </c>
      <c r="G3193" s="5">
        <v>2431027198</v>
      </c>
      <c r="H3193" s="4" t="s">
        <v>10187</v>
      </c>
      <c r="I3193" s="4" t="s">
        <v>10121</v>
      </c>
      <c r="J3193" s="4" t="s">
        <v>10157</v>
      </c>
      <c r="K3193" s="4" t="s">
        <v>10188</v>
      </c>
      <c r="L3193" s="5">
        <v>42100</v>
      </c>
    </row>
    <row r="3194" spans="1:12" ht="30" x14ac:dyDescent="0.25">
      <c r="A3194" s="3" t="s">
        <v>9197</v>
      </c>
      <c r="B3194" s="4" t="s">
        <v>10118</v>
      </c>
      <c r="C3194" s="4" t="s">
        <v>14</v>
      </c>
      <c r="D3194" s="4" t="s">
        <v>15</v>
      </c>
      <c r="E3194" s="5" t="str">
        <f>"9450085"</f>
        <v>9450085</v>
      </c>
      <c r="F3194" s="3" t="s">
        <v>10189</v>
      </c>
      <c r="G3194" s="5">
        <v>2431028221</v>
      </c>
      <c r="H3194" s="4" t="s">
        <v>10190</v>
      </c>
      <c r="I3194" s="4" t="s">
        <v>10121</v>
      </c>
      <c r="J3194" s="4" t="s">
        <v>10157</v>
      </c>
      <c r="K3194" s="4" t="s">
        <v>10191</v>
      </c>
      <c r="L3194" s="5">
        <v>42131</v>
      </c>
    </row>
    <row r="3195" spans="1:12" x14ac:dyDescent="0.25">
      <c r="A3195" s="3" t="s">
        <v>9197</v>
      </c>
      <c r="B3195" s="4" t="s">
        <v>10118</v>
      </c>
      <c r="C3195" s="4" t="s">
        <v>14</v>
      </c>
      <c r="D3195" s="4" t="s">
        <v>15</v>
      </c>
      <c r="E3195" s="5" t="str">
        <f>"9450104"</f>
        <v>9450104</v>
      </c>
      <c r="F3195" s="3" t="s">
        <v>10192</v>
      </c>
      <c r="G3195" s="5">
        <v>2433041061</v>
      </c>
      <c r="H3195" s="4" t="s">
        <v>10193</v>
      </c>
      <c r="I3195" s="4" t="s">
        <v>10160</v>
      </c>
      <c r="J3195" s="4" t="s">
        <v>10194</v>
      </c>
      <c r="K3195" s="4" t="s">
        <v>10195</v>
      </c>
      <c r="L3195" s="5">
        <v>42031</v>
      </c>
    </row>
    <row r="3196" spans="1:12" x14ac:dyDescent="0.25">
      <c r="A3196" s="3" t="s">
        <v>9197</v>
      </c>
      <c r="B3196" s="4" t="s">
        <v>10118</v>
      </c>
      <c r="C3196" s="4" t="s">
        <v>14</v>
      </c>
      <c r="D3196" s="4" t="s">
        <v>15</v>
      </c>
      <c r="E3196" s="5" t="str">
        <f>"9450006"</f>
        <v>9450006</v>
      </c>
      <c r="F3196" s="3" t="s">
        <v>10196</v>
      </c>
      <c r="G3196" s="5">
        <v>2431025284</v>
      </c>
      <c r="H3196" s="4" t="s">
        <v>10197</v>
      </c>
      <c r="I3196" s="4" t="s">
        <v>10121</v>
      </c>
      <c r="J3196" s="4" t="s">
        <v>10157</v>
      </c>
      <c r="K3196" s="4" t="s">
        <v>10198</v>
      </c>
      <c r="L3196" s="5">
        <v>42131</v>
      </c>
    </row>
    <row r="3197" spans="1:12" x14ac:dyDescent="0.25">
      <c r="A3197" s="3" t="s">
        <v>9197</v>
      </c>
      <c r="B3197" s="4" t="s">
        <v>10118</v>
      </c>
      <c r="C3197" s="4" t="s">
        <v>14</v>
      </c>
      <c r="D3197" s="4" t="s">
        <v>179</v>
      </c>
      <c r="E3197" s="5" t="str">
        <f>"9450052"</f>
        <v>9450052</v>
      </c>
      <c r="F3197" s="3" t="s">
        <v>10199</v>
      </c>
      <c r="G3197" s="5">
        <v>2431053222</v>
      </c>
      <c r="H3197" s="4" t="s">
        <v>10200</v>
      </c>
      <c r="I3197" s="4" t="s">
        <v>10121</v>
      </c>
      <c r="J3197" s="4" t="s">
        <v>10201</v>
      </c>
      <c r="K3197" s="4" t="s">
        <v>10201</v>
      </c>
      <c r="L3197" s="5">
        <v>42100</v>
      </c>
    </row>
    <row r="3198" spans="1:12" x14ac:dyDescent="0.25">
      <c r="A3198" s="3" t="s">
        <v>9197</v>
      </c>
      <c r="B3198" s="4" t="s">
        <v>10118</v>
      </c>
      <c r="C3198" s="4" t="s">
        <v>14</v>
      </c>
      <c r="D3198" s="4" t="s">
        <v>15</v>
      </c>
      <c r="E3198" s="5" t="str">
        <f>"9450091"</f>
        <v>9450091</v>
      </c>
      <c r="F3198" s="3" t="s">
        <v>10202</v>
      </c>
      <c r="G3198" s="5">
        <v>2433022206</v>
      </c>
      <c r="H3198" s="4" t="s">
        <v>10203</v>
      </c>
      <c r="I3198" s="4" t="s">
        <v>10160</v>
      </c>
      <c r="J3198" s="4" t="s">
        <v>10204</v>
      </c>
      <c r="K3198" s="4" t="s">
        <v>10205</v>
      </c>
      <c r="L3198" s="5">
        <v>42031</v>
      </c>
    </row>
    <row r="3199" spans="1:12" x14ac:dyDescent="0.25">
      <c r="A3199" s="3" t="s">
        <v>9197</v>
      </c>
      <c r="B3199" s="4" t="s">
        <v>10118</v>
      </c>
      <c r="C3199" s="4" t="s">
        <v>14</v>
      </c>
      <c r="D3199" s="4" t="s">
        <v>15</v>
      </c>
      <c r="E3199" s="5" t="str">
        <f>"9450013"</f>
        <v>9450013</v>
      </c>
      <c r="F3199" s="3" t="s">
        <v>10206</v>
      </c>
      <c r="G3199" s="5">
        <v>2431028473</v>
      </c>
      <c r="H3199" s="4" t="s">
        <v>10207</v>
      </c>
      <c r="I3199" s="4" t="s">
        <v>10121</v>
      </c>
      <c r="J3199" s="4" t="s">
        <v>10157</v>
      </c>
      <c r="K3199" s="4" t="s">
        <v>10208</v>
      </c>
      <c r="L3199" s="5">
        <v>42132</v>
      </c>
    </row>
    <row r="3200" spans="1:12" x14ac:dyDescent="0.25">
      <c r="A3200" s="3" t="s">
        <v>9197</v>
      </c>
      <c r="B3200" s="4" t="s">
        <v>10118</v>
      </c>
      <c r="C3200" s="4" t="s">
        <v>14</v>
      </c>
      <c r="D3200" s="4" t="s">
        <v>15</v>
      </c>
      <c r="E3200" s="5" t="str">
        <f>"9450034"</f>
        <v>9450034</v>
      </c>
      <c r="F3200" s="3" t="s">
        <v>10209</v>
      </c>
      <c r="G3200" s="5">
        <v>2431085309</v>
      </c>
      <c r="H3200" s="4" t="s">
        <v>10210</v>
      </c>
      <c r="I3200" s="4" t="s">
        <v>10121</v>
      </c>
      <c r="J3200" s="4" t="s">
        <v>10211</v>
      </c>
      <c r="K3200" s="4" t="s">
        <v>10212</v>
      </c>
      <c r="L3200" s="5">
        <v>42100</v>
      </c>
    </row>
    <row r="3201" spans="1:12" x14ac:dyDescent="0.25">
      <c r="A3201" s="3" t="s">
        <v>9197</v>
      </c>
      <c r="B3201" s="4" t="s">
        <v>10118</v>
      </c>
      <c r="C3201" s="4" t="s">
        <v>14</v>
      </c>
      <c r="D3201" s="4" t="s">
        <v>15</v>
      </c>
      <c r="E3201" s="5" t="str">
        <f>"9450019"</f>
        <v>9450019</v>
      </c>
      <c r="F3201" s="3" t="s">
        <v>10213</v>
      </c>
      <c r="G3201" s="5">
        <v>2431026297</v>
      </c>
      <c r="H3201" s="4" t="s">
        <v>10214</v>
      </c>
      <c r="I3201" s="4" t="s">
        <v>10121</v>
      </c>
      <c r="J3201" s="4" t="s">
        <v>10157</v>
      </c>
      <c r="K3201" s="4" t="s">
        <v>10215</v>
      </c>
      <c r="L3201" s="5">
        <v>42132</v>
      </c>
    </row>
    <row r="3202" spans="1:12" x14ac:dyDescent="0.25">
      <c r="A3202" s="3" t="s">
        <v>9197</v>
      </c>
      <c r="B3202" s="4" t="s">
        <v>10118</v>
      </c>
      <c r="C3202" s="4" t="s">
        <v>14</v>
      </c>
      <c r="D3202" s="4" t="s">
        <v>15</v>
      </c>
      <c r="E3202" s="5" t="str">
        <f>"9450066"</f>
        <v>9450066</v>
      </c>
      <c r="F3202" s="3" t="s">
        <v>10216</v>
      </c>
      <c r="G3202" s="5">
        <v>2431083204</v>
      </c>
      <c r="H3202" s="4" t="s">
        <v>10217</v>
      </c>
      <c r="I3202" s="4" t="s">
        <v>10160</v>
      </c>
      <c r="J3202" s="4" t="s">
        <v>6714</v>
      </c>
      <c r="K3202" s="4" t="s">
        <v>6714</v>
      </c>
      <c r="L3202" s="5">
        <v>42100</v>
      </c>
    </row>
    <row r="3203" spans="1:12" x14ac:dyDescent="0.25">
      <c r="A3203" s="3" t="s">
        <v>9197</v>
      </c>
      <c r="B3203" s="4" t="s">
        <v>10118</v>
      </c>
      <c r="C3203" s="4" t="s">
        <v>25</v>
      </c>
      <c r="D3203" s="4" t="s">
        <v>26</v>
      </c>
      <c r="E3203" s="5" t="str">
        <f>"9450342"</f>
        <v>9450342</v>
      </c>
      <c r="F3203" s="3" t="s">
        <v>10218</v>
      </c>
      <c r="G3203" s="5">
        <v>2432023325</v>
      </c>
      <c r="H3203" s="4" t="s">
        <v>10219</v>
      </c>
      <c r="I3203" s="4" t="s">
        <v>10183</v>
      </c>
      <c r="J3203" s="4" t="s">
        <v>10184</v>
      </c>
      <c r="K3203" s="4" t="s">
        <v>10220</v>
      </c>
      <c r="L3203" s="5">
        <v>42200</v>
      </c>
    </row>
    <row r="3204" spans="1:12" x14ac:dyDescent="0.25">
      <c r="A3204" s="3" t="s">
        <v>9197</v>
      </c>
      <c r="B3204" s="4" t="s">
        <v>10118</v>
      </c>
      <c r="C3204" s="4" t="s">
        <v>25</v>
      </c>
      <c r="D3204" s="4" t="s">
        <v>26</v>
      </c>
      <c r="E3204" s="5" t="str">
        <f>"9450315"</f>
        <v>9450315</v>
      </c>
      <c r="F3204" s="3" t="s">
        <v>10221</v>
      </c>
      <c r="G3204" s="5">
        <v>2432077683</v>
      </c>
      <c r="H3204" s="4" t="s">
        <v>10222</v>
      </c>
      <c r="I3204" s="4" t="s">
        <v>10183</v>
      </c>
      <c r="J3204" s="4" t="s">
        <v>10223</v>
      </c>
      <c r="K3204" s="4" t="s">
        <v>10224</v>
      </c>
      <c r="L3204" s="5">
        <v>42200</v>
      </c>
    </row>
    <row r="3205" spans="1:12" x14ac:dyDescent="0.25">
      <c r="A3205" s="3" t="s">
        <v>9197</v>
      </c>
      <c r="B3205" s="4" t="s">
        <v>10118</v>
      </c>
      <c r="C3205" s="4" t="s">
        <v>14</v>
      </c>
      <c r="D3205" s="4" t="s">
        <v>15</v>
      </c>
      <c r="E3205" s="5" t="str">
        <f>"9450008"</f>
        <v>9450008</v>
      </c>
      <c r="F3205" s="3" t="s">
        <v>10225</v>
      </c>
      <c r="G3205" s="5">
        <v>2431034593</v>
      </c>
      <c r="H3205" s="4" t="s">
        <v>10226</v>
      </c>
      <c r="I3205" s="4" t="s">
        <v>10121</v>
      </c>
      <c r="J3205" s="4" t="s">
        <v>10157</v>
      </c>
      <c r="K3205" s="4" t="s">
        <v>10227</v>
      </c>
      <c r="L3205" s="5">
        <v>42100</v>
      </c>
    </row>
    <row r="3206" spans="1:12" x14ac:dyDescent="0.25">
      <c r="A3206" s="3" t="s">
        <v>9197</v>
      </c>
      <c r="B3206" s="4" t="s">
        <v>10118</v>
      </c>
      <c r="C3206" s="4" t="s">
        <v>25</v>
      </c>
      <c r="D3206" s="4" t="s">
        <v>26</v>
      </c>
      <c r="E3206" s="5" t="str">
        <f>"9450371"</f>
        <v>9450371</v>
      </c>
      <c r="F3206" s="3" t="s">
        <v>10228</v>
      </c>
      <c r="G3206" s="5">
        <v>2432078591</v>
      </c>
      <c r="H3206" s="4" t="s">
        <v>10229</v>
      </c>
      <c r="I3206" s="4" t="s">
        <v>10183</v>
      </c>
      <c r="J3206" s="4" t="s">
        <v>10184</v>
      </c>
      <c r="K3206" s="4" t="s">
        <v>10230</v>
      </c>
      <c r="L3206" s="5">
        <v>42200</v>
      </c>
    </row>
    <row r="3207" spans="1:12" x14ac:dyDescent="0.25">
      <c r="A3207" s="3" t="s">
        <v>9197</v>
      </c>
      <c r="B3207" s="4" t="s">
        <v>10118</v>
      </c>
      <c r="C3207" s="4" t="s">
        <v>25</v>
      </c>
      <c r="D3207" s="4" t="s">
        <v>26</v>
      </c>
      <c r="E3207" s="5" t="str">
        <f>"9450127"</f>
        <v>9450127</v>
      </c>
      <c r="F3207" s="3" t="s">
        <v>10231</v>
      </c>
      <c r="G3207" s="5">
        <v>2432023237</v>
      </c>
      <c r="H3207" s="4" t="s">
        <v>10232</v>
      </c>
      <c r="I3207" s="4" t="s">
        <v>10183</v>
      </c>
      <c r="J3207" s="4" t="s">
        <v>10223</v>
      </c>
      <c r="K3207" s="4" t="s">
        <v>10233</v>
      </c>
      <c r="L3207" s="5">
        <v>42200</v>
      </c>
    </row>
    <row r="3208" spans="1:12" x14ac:dyDescent="0.25">
      <c r="A3208" s="3" t="s">
        <v>9197</v>
      </c>
      <c r="B3208" s="4" t="s">
        <v>10118</v>
      </c>
      <c r="C3208" s="4" t="s">
        <v>14</v>
      </c>
      <c r="D3208" s="4" t="s">
        <v>15</v>
      </c>
      <c r="E3208" s="5" t="str">
        <f>"9450325"</f>
        <v>9450325</v>
      </c>
      <c r="F3208" s="3" t="s">
        <v>10234</v>
      </c>
      <c r="G3208" s="5">
        <v>2431021262</v>
      </c>
      <c r="H3208" s="4" t="s">
        <v>10235</v>
      </c>
      <c r="I3208" s="4" t="s">
        <v>10121</v>
      </c>
      <c r="J3208" s="4" t="s">
        <v>10157</v>
      </c>
      <c r="K3208" s="4" t="s">
        <v>10236</v>
      </c>
      <c r="L3208" s="5">
        <v>42132</v>
      </c>
    </row>
    <row r="3209" spans="1:12" x14ac:dyDescent="0.25">
      <c r="A3209" s="3" t="s">
        <v>9197</v>
      </c>
      <c r="B3209" s="4" t="s">
        <v>10118</v>
      </c>
      <c r="C3209" s="4" t="s">
        <v>14</v>
      </c>
      <c r="D3209" s="4" t="s">
        <v>15</v>
      </c>
      <c r="E3209" s="5" t="str">
        <f>"9450087"</f>
        <v>9450087</v>
      </c>
      <c r="F3209" s="3" t="s">
        <v>10237</v>
      </c>
      <c r="G3209" s="5">
        <v>2431027086</v>
      </c>
      <c r="H3209" s="4" t="s">
        <v>10238</v>
      </c>
      <c r="I3209" s="4" t="s">
        <v>10121</v>
      </c>
      <c r="J3209" s="4" t="s">
        <v>10157</v>
      </c>
      <c r="K3209" s="4" t="s">
        <v>10239</v>
      </c>
      <c r="L3209" s="5">
        <v>42131</v>
      </c>
    </row>
    <row r="3210" spans="1:12" x14ac:dyDescent="0.25">
      <c r="A3210" s="3" t="s">
        <v>9197</v>
      </c>
      <c r="B3210" s="4" t="s">
        <v>10118</v>
      </c>
      <c r="C3210" s="4" t="s">
        <v>25</v>
      </c>
      <c r="D3210" s="4" t="s">
        <v>26</v>
      </c>
      <c r="E3210" s="5" t="str">
        <f>"9450210"</f>
        <v>9450210</v>
      </c>
      <c r="F3210" s="3" t="s">
        <v>10240</v>
      </c>
      <c r="G3210" s="5">
        <v>2434022681</v>
      </c>
      <c r="H3210" s="4" t="s">
        <v>10241</v>
      </c>
      <c r="I3210" s="4" t="s">
        <v>10242</v>
      </c>
      <c r="J3210" s="4" t="s">
        <v>10243</v>
      </c>
      <c r="K3210" s="4" t="s">
        <v>10243</v>
      </c>
      <c r="L3210" s="5">
        <v>42032</v>
      </c>
    </row>
    <row r="3211" spans="1:12" x14ac:dyDescent="0.25">
      <c r="A3211" s="3" t="s">
        <v>9197</v>
      </c>
      <c r="B3211" s="4" t="s">
        <v>10118</v>
      </c>
      <c r="C3211" s="4" t="s">
        <v>14</v>
      </c>
      <c r="D3211" s="4" t="s">
        <v>15</v>
      </c>
      <c r="E3211" s="5" t="str">
        <f>"9450086"</f>
        <v>9450086</v>
      </c>
      <c r="F3211" s="3" t="s">
        <v>10244</v>
      </c>
      <c r="G3211" s="5">
        <v>2431027157</v>
      </c>
      <c r="H3211" s="4" t="s">
        <v>10245</v>
      </c>
      <c r="I3211" s="4" t="s">
        <v>10121</v>
      </c>
      <c r="J3211" s="4" t="s">
        <v>10153</v>
      </c>
      <c r="K3211" s="4" t="s">
        <v>10246</v>
      </c>
      <c r="L3211" s="5">
        <v>42132</v>
      </c>
    </row>
    <row r="3212" spans="1:12" x14ac:dyDescent="0.25">
      <c r="A3212" s="3" t="s">
        <v>9197</v>
      </c>
      <c r="B3212" s="4" t="s">
        <v>10118</v>
      </c>
      <c r="C3212" s="4" t="s">
        <v>14</v>
      </c>
      <c r="D3212" s="4" t="s">
        <v>15</v>
      </c>
      <c r="E3212" s="5" t="str">
        <f>"9450399"</f>
        <v>9450399</v>
      </c>
      <c r="F3212" s="3" t="s">
        <v>10247</v>
      </c>
      <c r="G3212" s="5">
        <v>2431076250</v>
      </c>
      <c r="H3212" s="4" t="s">
        <v>10248</v>
      </c>
      <c r="I3212" s="4" t="s">
        <v>10121</v>
      </c>
      <c r="J3212" s="4" t="s">
        <v>10157</v>
      </c>
      <c r="K3212" s="4" t="s">
        <v>10129</v>
      </c>
      <c r="L3212" s="5">
        <v>42131</v>
      </c>
    </row>
    <row r="3213" spans="1:12" x14ac:dyDescent="0.25">
      <c r="A3213" s="3" t="s">
        <v>9197</v>
      </c>
      <c r="B3213" s="4" t="s">
        <v>10118</v>
      </c>
      <c r="C3213" s="4" t="s">
        <v>14</v>
      </c>
      <c r="D3213" s="4" t="s">
        <v>15</v>
      </c>
      <c r="E3213" s="5" t="str">
        <f>"9450039"</f>
        <v>9450039</v>
      </c>
      <c r="F3213" s="3" t="s">
        <v>10249</v>
      </c>
      <c r="G3213" s="5">
        <v>2431085111</v>
      </c>
      <c r="H3213" s="4" t="s">
        <v>10250</v>
      </c>
      <c r="I3213" s="4" t="s">
        <v>10121</v>
      </c>
      <c r="J3213" s="4" t="s">
        <v>10251</v>
      </c>
      <c r="K3213" s="4" t="s">
        <v>10251</v>
      </c>
      <c r="L3213" s="5">
        <v>42100</v>
      </c>
    </row>
    <row r="3214" spans="1:12" x14ac:dyDescent="0.25">
      <c r="A3214" s="3" t="s">
        <v>9197</v>
      </c>
      <c r="B3214" s="4" t="s">
        <v>10118</v>
      </c>
      <c r="C3214" s="4" t="s">
        <v>14</v>
      </c>
      <c r="D3214" s="4" t="s">
        <v>15</v>
      </c>
      <c r="E3214" s="5" t="str">
        <f>"9450011"</f>
        <v>9450011</v>
      </c>
      <c r="F3214" s="3" t="s">
        <v>10252</v>
      </c>
      <c r="G3214" s="5">
        <v>2431025488</v>
      </c>
      <c r="H3214" s="4" t="s">
        <v>10253</v>
      </c>
      <c r="I3214" s="4" t="s">
        <v>10121</v>
      </c>
      <c r="J3214" s="4" t="s">
        <v>10157</v>
      </c>
      <c r="K3214" s="4" t="s">
        <v>10254</v>
      </c>
      <c r="L3214" s="5">
        <v>42100</v>
      </c>
    </row>
    <row r="3215" spans="1:12" x14ac:dyDescent="0.25">
      <c r="A3215" s="3" t="s">
        <v>9197</v>
      </c>
      <c r="B3215" s="4" t="s">
        <v>10118</v>
      </c>
      <c r="C3215" s="4" t="s">
        <v>25</v>
      </c>
      <c r="D3215" s="4" t="s">
        <v>26</v>
      </c>
      <c r="E3215" s="5" t="str">
        <f>"9450276"</f>
        <v>9450276</v>
      </c>
      <c r="F3215" s="3" t="s">
        <v>10255</v>
      </c>
      <c r="G3215" s="5">
        <v>2431028652</v>
      </c>
      <c r="H3215" s="4" t="s">
        <v>10256</v>
      </c>
      <c r="I3215" s="4" t="s">
        <v>10121</v>
      </c>
      <c r="J3215" s="4" t="s">
        <v>7223</v>
      </c>
      <c r="K3215" s="4" t="s">
        <v>10257</v>
      </c>
      <c r="L3215" s="5">
        <v>42131</v>
      </c>
    </row>
    <row r="3216" spans="1:12" x14ac:dyDescent="0.25">
      <c r="A3216" s="3" t="s">
        <v>9197</v>
      </c>
      <c r="B3216" s="4" t="s">
        <v>10118</v>
      </c>
      <c r="C3216" s="4" t="s">
        <v>14</v>
      </c>
      <c r="D3216" s="4" t="s">
        <v>15</v>
      </c>
      <c r="E3216" s="5" t="str">
        <f>"9450234"</f>
        <v>9450234</v>
      </c>
      <c r="F3216" s="3" t="s">
        <v>10258</v>
      </c>
      <c r="G3216" s="5">
        <v>2431055224</v>
      </c>
      <c r="H3216" s="4" t="s">
        <v>10259</v>
      </c>
      <c r="I3216" s="4" t="s">
        <v>10121</v>
      </c>
      <c r="J3216" s="4" t="s">
        <v>10260</v>
      </c>
      <c r="K3216" s="4" t="s">
        <v>10261</v>
      </c>
      <c r="L3216" s="5">
        <v>42150</v>
      </c>
    </row>
    <row r="3217" spans="1:12" x14ac:dyDescent="0.25">
      <c r="A3217" s="3" t="s">
        <v>9197</v>
      </c>
      <c r="B3217" s="4" t="s">
        <v>10118</v>
      </c>
      <c r="C3217" s="4" t="s">
        <v>25</v>
      </c>
      <c r="D3217" s="4" t="s">
        <v>26</v>
      </c>
      <c r="E3217" s="5" t="str">
        <f>"9450330"</f>
        <v>9450330</v>
      </c>
      <c r="F3217" s="3" t="s">
        <v>10262</v>
      </c>
      <c r="G3217" s="5">
        <v>2431023503</v>
      </c>
      <c r="H3217" s="4" t="s">
        <v>10263</v>
      </c>
      <c r="I3217" s="4" t="s">
        <v>10121</v>
      </c>
      <c r="J3217" s="4" t="s">
        <v>10122</v>
      </c>
      <c r="K3217" s="4" t="s">
        <v>10264</v>
      </c>
      <c r="L3217" s="5">
        <v>42100</v>
      </c>
    </row>
    <row r="3218" spans="1:12" x14ac:dyDescent="0.25">
      <c r="A3218" s="3" t="s">
        <v>9197</v>
      </c>
      <c r="B3218" s="4" t="s">
        <v>10118</v>
      </c>
      <c r="C3218" s="4" t="s">
        <v>25</v>
      </c>
      <c r="D3218" s="4" t="s">
        <v>26</v>
      </c>
      <c r="E3218" s="5" t="str">
        <f>"9450084"</f>
        <v>9450084</v>
      </c>
      <c r="F3218" s="3" t="s">
        <v>10265</v>
      </c>
      <c r="G3218" s="5">
        <v>2431039088</v>
      </c>
      <c r="H3218" s="4" t="s">
        <v>10266</v>
      </c>
      <c r="I3218" s="4" t="s">
        <v>10121</v>
      </c>
      <c r="J3218" s="4" t="s">
        <v>10157</v>
      </c>
      <c r="K3218" s="4" t="s">
        <v>10267</v>
      </c>
      <c r="L3218" s="5">
        <v>42100</v>
      </c>
    </row>
    <row r="3219" spans="1:12" x14ac:dyDescent="0.25">
      <c r="A3219" s="3" t="s">
        <v>9197</v>
      </c>
      <c r="B3219" s="4" t="s">
        <v>10118</v>
      </c>
      <c r="C3219" s="4" t="s">
        <v>25</v>
      </c>
      <c r="D3219" s="4" t="s">
        <v>26</v>
      </c>
      <c r="E3219" s="5" t="str">
        <f>"9450014"</f>
        <v>9450014</v>
      </c>
      <c r="F3219" s="3" t="s">
        <v>10268</v>
      </c>
      <c r="G3219" s="5">
        <v>2431038475</v>
      </c>
      <c r="H3219" s="4" t="s">
        <v>10269</v>
      </c>
      <c r="I3219" s="4" t="s">
        <v>10121</v>
      </c>
      <c r="J3219" s="4" t="s">
        <v>10122</v>
      </c>
      <c r="K3219" s="4" t="s">
        <v>10270</v>
      </c>
      <c r="L3219" s="5">
        <v>42100</v>
      </c>
    </row>
    <row r="3220" spans="1:12" x14ac:dyDescent="0.25">
      <c r="A3220" s="3" t="s">
        <v>9197</v>
      </c>
      <c r="B3220" s="4" t="s">
        <v>10118</v>
      </c>
      <c r="C3220" s="4" t="s">
        <v>25</v>
      </c>
      <c r="D3220" s="4" t="s">
        <v>26</v>
      </c>
      <c r="E3220" s="5" t="str">
        <f>"9450012"</f>
        <v>9450012</v>
      </c>
      <c r="F3220" s="3" t="s">
        <v>10271</v>
      </c>
      <c r="G3220" s="5">
        <v>2431076405</v>
      </c>
      <c r="H3220" s="4" t="s">
        <v>10272</v>
      </c>
      <c r="I3220" s="4" t="s">
        <v>10121</v>
      </c>
      <c r="J3220" s="4" t="s">
        <v>10122</v>
      </c>
      <c r="K3220" s="4" t="s">
        <v>8786</v>
      </c>
      <c r="L3220" s="5">
        <v>42131</v>
      </c>
    </row>
    <row r="3221" spans="1:12" x14ac:dyDescent="0.25">
      <c r="A3221" s="3" t="s">
        <v>9197</v>
      </c>
      <c r="B3221" s="4" t="s">
        <v>10118</v>
      </c>
      <c r="C3221" s="4" t="s">
        <v>25</v>
      </c>
      <c r="D3221" s="4" t="s">
        <v>26</v>
      </c>
      <c r="E3221" s="5" t="str">
        <f>"9450278"</f>
        <v>9450278</v>
      </c>
      <c r="F3221" s="3" t="s">
        <v>10273</v>
      </c>
      <c r="G3221" s="5">
        <v>2431032129</v>
      </c>
      <c r="H3221" s="4" t="s">
        <v>10274</v>
      </c>
      <c r="I3221" s="4" t="s">
        <v>10121</v>
      </c>
      <c r="J3221" s="4" t="s">
        <v>10122</v>
      </c>
      <c r="K3221" s="4" t="s">
        <v>10275</v>
      </c>
      <c r="L3221" s="5">
        <v>42132</v>
      </c>
    </row>
    <row r="3222" spans="1:12" x14ac:dyDescent="0.25">
      <c r="A3222" s="3" t="s">
        <v>9197</v>
      </c>
      <c r="B3222" s="4" t="s">
        <v>10118</v>
      </c>
      <c r="C3222" s="4" t="s">
        <v>25</v>
      </c>
      <c r="D3222" s="4" t="s">
        <v>26</v>
      </c>
      <c r="E3222" s="5" t="str">
        <f>"9450316"</f>
        <v>9450316</v>
      </c>
      <c r="F3222" s="3" t="s">
        <v>10276</v>
      </c>
      <c r="G3222" s="5">
        <v>2431030472</v>
      </c>
      <c r="H3222" s="4" t="s">
        <v>10277</v>
      </c>
      <c r="I3222" s="4" t="s">
        <v>10121</v>
      </c>
      <c r="J3222" s="4" t="s">
        <v>10122</v>
      </c>
      <c r="K3222" s="4" t="s">
        <v>10278</v>
      </c>
      <c r="L3222" s="5">
        <v>42100</v>
      </c>
    </row>
    <row r="3223" spans="1:12" x14ac:dyDescent="0.25">
      <c r="A3223" s="3" t="s">
        <v>9197</v>
      </c>
      <c r="B3223" s="4" t="s">
        <v>10118</v>
      </c>
      <c r="C3223" s="4" t="s">
        <v>14</v>
      </c>
      <c r="D3223" s="4" t="s">
        <v>15</v>
      </c>
      <c r="E3223" s="5" t="str">
        <f>"9450299"</f>
        <v>9450299</v>
      </c>
      <c r="F3223" s="3" t="s">
        <v>10279</v>
      </c>
      <c r="G3223" s="5">
        <v>2431601949</v>
      </c>
      <c r="H3223" s="4" t="s">
        <v>10280</v>
      </c>
      <c r="I3223" s="4" t="s">
        <v>10121</v>
      </c>
      <c r="J3223" s="4" t="s">
        <v>10157</v>
      </c>
      <c r="K3223" s="4" t="s">
        <v>10281</v>
      </c>
      <c r="L3223" s="5">
        <v>42100</v>
      </c>
    </row>
    <row r="3224" spans="1:12" x14ac:dyDescent="0.25">
      <c r="A3224" s="3" t="s">
        <v>9197</v>
      </c>
      <c r="B3224" s="4" t="s">
        <v>10118</v>
      </c>
      <c r="C3224" s="4" t="s">
        <v>25</v>
      </c>
      <c r="D3224" s="4" t="s">
        <v>26</v>
      </c>
      <c r="E3224" s="5" t="str">
        <f>"9450356"</f>
        <v>9450356</v>
      </c>
      <c r="F3224" s="3" t="s">
        <v>10282</v>
      </c>
      <c r="G3224" s="5">
        <v>2431026497</v>
      </c>
      <c r="H3224" s="4" t="s">
        <v>10283</v>
      </c>
      <c r="I3224" s="4" t="s">
        <v>10121</v>
      </c>
      <c r="J3224" s="4" t="s">
        <v>10122</v>
      </c>
      <c r="K3224" s="4" t="s">
        <v>10284</v>
      </c>
      <c r="L3224" s="5">
        <v>42100</v>
      </c>
    </row>
    <row r="3225" spans="1:12" x14ac:dyDescent="0.25">
      <c r="A3225" s="3" t="s">
        <v>9197</v>
      </c>
      <c r="B3225" s="4" t="s">
        <v>10118</v>
      </c>
      <c r="C3225" s="4" t="s">
        <v>25</v>
      </c>
      <c r="D3225" s="4" t="s">
        <v>26</v>
      </c>
      <c r="E3225" s="5" t="str">
        <f>"9450397"</f>
        <v>9450397</v>
      </c>
      <c r="F3225" s="3" t="s">
        <v>10285</v>
      </c>
      <c r="G3225" s="5">
        <v>2431035609</v>
      </c>
      <c r="H3225" s="4" t="s">
        <v>10286</v>
      </c>
      <c r="I3225" s="4" t="s">
        <v>10121</v>
      </c>
      <c r="J3225" s="4" t="s">
        <v>10122</v>
      </c>
      <c r="K3225" s="4" t="s">
        <v>10287</v>
      </c>
      <c r="L3225" s="5">
        <v>42132</v>
      </c>
    </row>
    <row r="3226" spans="1:12" x14ac:dyDescent="0.25">
      <c r="A3226" s="3" t="s">
        <v>9197</v>
      </c>
      <c r="B3226" s="4" t="s">
        <v>10118</v>
      </c>
      <c r="C3226" s="4" t="s">
        <v>14</v>
      </c>
      <c r="D3226" s="4" t="s">
        <v>15</v>
      </c>
      <c r="E3226" s="5" t="str">
        <f>"9450118"</f>
        <v>9450118</v>
      </c>
      <c r="F3226" s="3" t="s">
        <v>10288</v>
      </c>
      <c r="G3226" s="5">
        <v>2431087400</v>
      </c>
      <c r="H3226" s="4" t="s">
        <v>10289</v>
      </c>
      <c r="I3226" s="4" t="s">
        <v>10121</v>
      </c>
      <c r="J3226" s="4" t="s">
        <v>10290</v>
      </c>
      <c r="K3226" s="4" t="s">
        <v>10290</v>
      </c>
      <c r="L3226" s="5">
        <v>42100</v>
      </c>
    </row>
    <row r="3227" spans="1:12" x14ac:dyDescent="0.25">
      <c r="A3227" s="3" t="s">
        <v>9197</v>
      </c>
      <c r="B3227" s="4" t="s">
        <v>10118</v>
      </c>
      <c r="C3227" s="4" t="s">
        <v>14</v>
      </c>
      <c r="D3227" s="4" t="s">
        <v>15</v>
      </c>
      <c r="E3227" s="5" t="str">
        <f>"9450322"</f>
        <v>9450322</v>
      </c>
      <c r="F3227" s="3" t="s">
        <v>10291</v>
      </c>
      <c r="G3227" s="5">
        <v>2431021269</v>
      </c>
      <c r="H3227" s="4" t="s">
        <v>10292</v>
      </c>
      <c r="I3227" s="4" t="s">
        <v>10121</v>
      </c>
      <c r="J3227" s="4" t="s">
        <v>10157</v>
      </c>
      <c r="K3227" s="4" t="s">
        <v>10293</v>
      </c>
      <c r="L3227" s="5">
        <v>42131</v>
      </c>
    </row>
    <row r="3228" spans="1:12" x14ac:dyDescent="0.25">
      <c r="A3228" s="3" t="s">
        <v>9197</v>
      </c>
      <c r="B3228" s="4" t="s">
        <v>10118</v>
      </c>
      <c r="C3228" s="4" t="s">
        <v>14</v>
      </c>
      <c r="D3228" s="4" t="s">
        <v>15</v>
      </c>
      <c r="E3228" s="5" t="str">
        <f>"9450101"</f>
        <v>9450101</v>
      </c>
      <c r="F3228" s="3" t="s">
        <v>10294</v>
      </c>
      <c r="G3228" s="5">
        <v>2433051397</v>
      </c>
      <c r="H3228" s="4" t="s">
        <v>10295</v>
      </c>
      <c r="I3228" s="4" t="s">
        <v>10160</v>
      </c>
      <c r="J3228" s="4" t="s">
        <v>10296</v>
      </c>
      <c r="K3228" s="4" t="s">
        <v>10296</v>
      </c>
      <c r="L3228" s="5">
        <v>42031</v>
      </c>
    </row>
    <row r="3229" spans="1:12" x14ac:dyDescent="0.25">
      <c r="A3229" s="3" t="s">
        <v>9197</v>
      </c>
      <c r="B3229" s="4" t="s">
        <v>10118</v>
      </c>
      <c r="C3229" s="4" t="s">
        <v>14</v>
      </c>
      <c r="D3229" s="4" t="s">
        <v>15</v>
      </c>
      <c r="E3229" s="5" t="str">
        <f>"9450217"</f>
        <v>9450217</v>
      </c>
      <c r="F3229" s="3" t="s">
        <v>10297</v>
      </c>
      <c r="G3229" s="5">
        <v>2431024783</v>
      </c>
      <c r="H3229" s="4" t="s">
        <v>10298</v>
      </c>
      <c r="I3229" s="4" t="s">
        <v>10121</v>
      </c>
      <c r="J3229" s="4" t="s">
        <v>10157</v>
      </c>
      <c r="K3229" s="4" t="s">
        <v>10299</v>
      </c>
      <c r="L3229" s="5">
        <v>42100</v>
      </c>
    </row>
    <row r="3230" spans="1:12" x14ac:dyDescent="0.25">
      <c r="A3230" s="3" t="s">
        <v>9197</v>
      </c>
      <c r="B3230" s="4" t="s">
        <v>10118</v>
      </c>
      <c r="C3230" s="4" t="s">
        <v>14</v>
      </c>
      <c r="D3230" s="4" t="s">
        <v>15</v>
      </c>
      <c r="E3230" s="5" t="str">
        <f>"9450363"</f>
        <v>9450363</v>
      </c>
      <c r="F3230" s="3" t="s">
        <v>10300</v>
      </c>
      <c r="G3230" s="5">
        <v>2432024405</v>
      </c>
      <c r="H3230" s="4" t="s">
        <v>10301</v>
      </c>
      <c r="I3230" s="4" t="s">
        <v>10183</v>
      </c>
      <c r="J3230" s="4" t="s">
        <v>10302</v>
      </c>
      <c r="K3230" s="4" t="s">
        <v>3214</v>
      </c>
      <c r="L3230" s="5">
        <v>42200</v>
      </c>
    </row>
    <row r="3231" spans="1:12" x14ac:dyDescent="0.25">
      <c r="A3231" s="3" t="s">
        <v>9197</v>
      </c>
      <c r="B3231" s="4" t="s">
        <v>10118</v>
      </c>
      <c r="C3231" s="4" t="s">
        <v>14</v>
      </c>
      <c r="D3231" s="4" t="s">
        <v>15</v>
      </c>
      <c r="E3231" s="5" t="str">
        <f>"9450128"</f>
        <v>9450128</v>
      </c>
      <c r="F3231" s="3" t="s">
        <v>10303</v>
      </c>
      <c r="G3231" s="5">
        <v>2432022479</v>
      </c>
      <c r="H3231" s="4" t="s">
        <v>10304</v>
      </c>
      <c r="I3231" s="4" t="s">
        <v>10183</v>
      </c>
      <c r="J3231" s="4" t="s">
        <v>10184</v>
      </c>
      <c r="K3231" s="4" t="s">
        <v>10305</v>
      </c>
      <c r="L3231" s="5">
        <v>42200</v>
      </c>
    </row>
    <row r="3232" spans="1:12" x14ac:dyDescent="0.25">
      <c r="A3232" s="3" t="s">
        <v>9197</v>
      </c>
      <c r="B3232" s="4" t="s">
        <v>10118</v>
      </c>
      <c r="C3232" s="4" t="s">
        <v>14</v>
      </c>
      <c r="D3232" s="4" t="s">
        <v>15</v>
      </c>
      <c r="E3232" s="5" t="str">
        <f>"9450274"</f>
        <v>9450274</v>
      </c>
      <c r="F3232" s="3" t="s">
        <v>10306</v>
      </c>
      <c r="G3232" s="5">
        <v>2432078066</v>
      </c>
      <c r="H3232" s="4" t="s">
        <v>10307</v>
      </c>
      <c r="I3232" s="4" t="s">
        <v>10183</v>
      </c>
      <c r="J3232" s="4" t="s">
        <v>10302</v>
      </c>
      <c r="K3232" s="4" t="s">
        <v>10308</v>
      </c>
      <c r="L3232" s="5">
        <v>42200</v>
      </c>
    </row>
    <row r="3233" spans="1:12" x14ac:dyDescent="0.25">
      <c r="A3233" s="3" t="s">
        <v>9197</v>
      </c>
      <c r="B3233" s="4" t="s">
        <v>10118</v>
      </c>
      <c r="C3233" s="4" t="s">
        <v>14</v>
      </c>
      <c r="D3233" s="4" t="s">
        <v>15</v>
      </c>
      <c r="E3233" s="5" t="str">
        <f>"9450007"</f>
        <v>9450007</v>
      </c>
      <c r="F3233" s="3" t="s">
        <v>10309</v>
      </c>
      <c r="G3233" s="5">
        <v>2431024264</v>
      </c>
      <c r="H3233" s="4" t="s">
        <v>10310</v>
      </c>
      <c r="I3233" s="4" t="s">
        <v>10121</v>
      </c>
      <c r="J3233" s="4" t="s">
        <v>10157</v>
      </c>
      <c r="K3233" s="4" t="s">
        <v>9410</v>
      </c>
      <c r="L3233" s="5">
        <v>42100</v>
      </c>
    </row>
    <row r="3234" spans="1:12" x14ac:dyDescent="0.25">
      <c r="A3234" s="3" t="s">
        <v>9197</v>
      </c>
      <c r="B3234" s="4" t="s">
        <v>10118</v>
      </c>
      <c r="C3234" s="4" t="s">
        <v>14</v>
      </c>
      <c r="D3234" s="4" t="s">
        <v>15</v>
      </c>
      <c r="E3234" s="5" t="str">
        <f>"9450009"</f>
        <v>9450009</v>
      </c>
      <c r="F3234" s="3" t="s">
        <v>10311</v>
      </c>
      <c r="G3234" s="5">
        <v>2431030680</v>
      </c>
      <c r="H3234" s="4" t="s">
        <v>10312</v>
      </c>
      <c r="I3234" s="4" t="s">
        <v>10121</v>
      </c>
      <c r="J3234" s="4" t="s">
        <v>10157</v>
      </c>
      <c r="K3234" s="4" t="s">
        <v>10313</v>
      </c>
      <c r="L3234" s="5">
        <v>42100</v>
      </c>
    </row>
    <row r="3235" spans="1:12" x14ac:dyDescent="0.25">
      <c r="A3235" s="3" t="s">
        <v>9197</v>
      </c>
      <c r="B3235" s="4" t="s">
        <v>10118</v>
      </c>
      <c r="C3235" s="4" t="s">
        <v>14</v>
      </c>
      <c r="D3235" s="4" t="s">
        <v>15</v>
      </c>
      <c r="E3235" s="5" t="str">
        <f>"9450219"</f>
        <v>9450219</v>
      </c>
      <c r="F3235" s="3" t="s">
        <v>10314</v>
      </c>
      <c r="G3235" s="5">
        <v>2431024465</v>
      </c>
      <c r="H3235" s="4" t="s">
        <v>10315</v>
      </c>
      <c r="I3235" s="4" t="s">
        <v>10121</v>
      </c>
      <c r="J3235" s="4" t="s">
        <v>10157</v>
      </c>
      <c r="K3235" s="4" t="s">
        <v>10316</v>
      </c>
      <c r="L3235" s="5">
        <v>42131</v>
      </c>
    </row>
    <row r="3236" spans="1:12" x14ac:dyDescent="0.25">
      <c r="A3236" s="3" t="s">
        <v>9197</v>
      </c>
      <c r="B3236" s="4" t="s">
        <v>10118</v>
      </c>
      <c r="C3236" s="4" t="s">
        <v>25</v>
      </c>
      <c r="D3236" s="4" t="s">
        <v>26</v>
      </c>
      <c r="E3236" s="5" t="str">
        <f>"9521227"</f>
        <v>9521227</v>
      </c>
      <c r="F3236" s="3" t="s">
        <v>10317</v>
      </c>
      <c r="G3236" s="5">
        <v>2431026145</v>
      </c>
      <c r="H3236" s="4" t="s">
        <v>10318</v>
      </c>
      <c r="I3236" s="4" t="s">
        <v>10121</v>
      </c>
      <c r="J3236" s="4" t="s">
        <v>10157</v>
      </c>
      <c r="K3236" s="4" t="s">
        <v>10319</v>
      </c>
      <c r="L3236" s="5">
        <v>42100</v>
      </c>
    </row>
    <row r="3237" spans="1:12" x14ac:dyDescent="0.25">
      <c r="A3237" s="3" t="s">
        <v>9197</v>
      </c>
      <c r="B3237" s="4" t="s">
        <v>10118</v>
      </c>
      <c r="C3237" s="4" t="s">
        <v>14</v>
      </c>
      <c r="D3237" s="4" t="s">
        <v>15</v>
      </c>
      <c r="E3237" s="5" t="str">
        <f>"9450209"</f>
        <v>9450209</v>
      </c>
      <c r="F3237" s="3" t="s">
        <v>10320</v>
      </c>
      <c r="G3237" s="5">
        <v>2434022143</v>
      </c>
      <c r="H3237" s="4" t="s">
        <v>10321</v>
      </c>
      <c r="I3237" s="4" t="s">
        <v>10242</v>
      </c>
      <c r="J3237" s="4" t="s">
        <v>10243</v>
      </c>
      <c r="K3237" s="4" t="s">
        <v>10322</v>
      </c>
      <c r="L3237" s="5">
        <v>42032</v>
      </c>
    </row>
    <row r="3238" spans="1:12" x14ac:dyDescent="0.25">
      <c r="A3238" s="3" t="s">
        <v>9197</v>
      </c>
      <c r="B3238" s="4" t="s">
        <v>10118</v>
      </c>
      <c r="C3238" s="4" t="s">
        <v>14</v>
      </c>
      <c r="D3238" s="4" t="s">
        <v>15</v>
      </c>
      <c r="E3238" s="5" t="str">
        <f>"9521491"</f>
        <v>9521491</v>
      </c>
      <c r="F3238" s="3" t="s">
        <v>10323</v>
      </c>
      <c r="G3238" s="5">
        <v>2432077812</v>
      </c>
      <c r="H3238" s="4" t="s">
        <v>10324</v>
      </c>
      <c r="I3238" s="4" t="s">
        <v>10183</v>
      </c>
      <c r="J3238" s="4" t="s">
        <v>10325</v>
      </c>
      <c r="K3238" s="4" t="s">
        <v>10326</v>
      </c>
      <c r="L3238" s="5">
        <v>42200</v>
      </c>
    </row>
    <row r="3239" spans="1:12" x14ac:dyDescent="0.25">
      <c r="A3239" s="3" t="s">
        <v>10327</v>
      </c>
      <c r="B3239" s="4" t="s">
        <v>10328</v>
      </c>
      <c r="C3239" s="4" t="s">
        <v>14</v>
      </c>
      <c r="D3239" s="4" t="s">
        <v>15</v>
      </c>
      <c r="E3239" s="5" t="str">
        <f>"9140063"</f>
        <v>9140063</v>
      </c>
      <c r="F3239" s="3" t="s">
        <v>10329</v>
      </c>
      <c r="G3239" s="5">
        <v>2695061771</v>
      </c>
      <c r="H3239" s="4" t="s">
        <v>10330</v>
      </c>
      <c r="I3239" s="4" t="s">
        <v>2364</v>
      </c>
      <c r="J3239" s="4" t="s">
        <v>10331</v>
      </c>
      <c r="K3239" s="4" t="s">
        <v>10331</v>
      </c>
      <c r="L3239" s="5">
        <v>29100</v>
      </c>
    </row>
    <row r="3240" spans="1:12" x14ac:dyDescent="0.25">
      <c r="A3240" s="3" t="s">
        <v>10327</v>
      </c>
      <c r="B3240" s="4" t="s">
        <v>10328</v>
      </c>
      <c r="C3240" s="4" t="s">
        <v>14</v>
      </c>
      <c r="D3240" s="4" t="s">
        <v>15</v>
      </c>
      <c r="E3240" s="5" t="str">
        <f>"9140040"</f>
        <v>9140040</v>
      </c>
      <c r="F3240" s="3" t="s">
        <v>10332</v>
      </c>
      <c r="G3240" s="5">
        <v>2695061442</v>
      </c>
      <c r="H3240" s="4" t="s">
        <v>10333</v>
      </c>
      <c r="I3240" s="4" t="s">
        <v>2364</v>
      </c>
      <c r="J3240" s="4"/>
      <c r="K3240" s="4" t="s">
        <v>10334</v>
      </c>
      <c r="L3240" s="5">
        <v>29090</v>
      </c>
    </row>
    <row r="3241" spans="1:12" x14ac:dyDescent="0.25">
      <c r="A3241" s="3" t="s">
        <v>10327</v>
      </c>
      <c r="B3241" s="4" t="s">
        <v>10328</v>
      </c>
      <c r="C3241" s="4" t="s">
        <v>14</v>
      </c>
      <c r="D3241" s="4" t="s">
        <v>15</v>
      </c>
      <c r="E3241" s="5" t="str">
        <f>"9140038"</f>
        <v>9140038</v>
      </c>
      <c r="F3241" s="3" t="s">
        <v>10335</v>
      </c>
      <c r="G3241" s="5">
        <v>2695083265</v>
      </c>
      <c r="H3241" s="4" t="s">
        <v>10336</v>
      </c>
      <c r="I3241" s="4" t="s">
        <v>2364</v>
      </c>
      <c r="J3241" s="4" t="s">
        <v>10337</v>
      </c>
      <c r="K3241" s="4" t="s">
        <v>10337</v>
      </c>
      <c r="L3241" s="5">
        <v>29090</v>
      </c>
    </row>
    <row r="3242" spans="1:12" x14ac:dyDescent="0.25">
      <c r="A3242" s="3" t="s">
        <v>10327</v>
      </c>
      <c r="B3242" s="4" t="s">
        <v>10328</v>
      </c>
      <c r="C3242" s="4" t="s">
        <v>14</v>
      </c>
      <c r="D3242" s="4" t="s">
        <v>15</v>
      </c>
      <c r="E3242" s="5" t="str">
        <f>"9140006"</f>
        <v>9140006</v>
      </c>
      <c r="F3242" s="3" t="s">
        <v>10338</v>
      </c>
      <c r="G3242" s="5">
        <v>2695042401</v>
      </c>
      <c r="H3242" s="4" t="s">
        <v>10339</v>
      </c>
      <c r="I3242" s="4" t="s">
        <v>2364</v>
      </c>
      <c r="J3242" s="4" t="s">
        <v>10340</v>
      </c>
      <c r="K3242" s="4" t="s">
        <v>10341</v>
      </c>
      <c r="L3242" s="5">
        <v>29100</v>
      </c>
    </row>
    <row r="3243" spans="1:12" x14ac:dyDescent="0.25">
      <c r="A3243" s="3" t="s">
        <v>10327</v>
      </c>
      <c r="B3243" s="4" t="s">
        <v>10328</v>
      </c>
      <c r="C3243" s="4" t="s">
        <v>25</v>
      </c>
      <c r="D3243" s="4" t="s">
        <v>26</v>
      </c>
      <c r="E3243" s="5" t="str">
        <f>"9140037"</f>
        <v>9140037</v>
      </c>
      <c r="F3243" s="3" t="s">
        <v>10342</v>
      </c>
      <c r="G3243" s="5">
        <v>2695083473</v>
      </c>
      <c r="H3243" s="4" t="s">
        <v>10343</v>
      </c>
      <c r="I3243" s="4" t="s">
        <v>2364</v>
      </c>
      <c r="J3243" s="4" t="s">
        <v>10344</v>
      </c>
      <c r="K3243" s="4" t="s">
        <v>10337</v>
      </c>
      <c r="L3243" s="5">
        <v>29090</v>
      </c>
    </row>
    <row r="3244" spans="1:12" x14ac:dyDescent="0.25">
      <c r="A3244" s="3" t="s">
        <v>10327</v>
      </c>
      <c r="B3244" s="4" t="s">
        <v>10328</v>
      </c>
      <c r="C3244" s="4" t="s">
        <v>25</v>
      </c>
      <c r="D3244" s="4" t="s">
        <v>26</v>
      </c>
      <c r="E3244" s="5" t="str">
        <f>"9140088"</f>
        <v>9140088</v>
      </c>
      <c r="F3244" s="3" t="s">
        <v>10345</v>
      </c>
      <c r="G3244" s="5">
        <v>2695023513</v>
      </c>
      <c r="H3244" s="4" t="s">
        <v>10346</v>
      </c>
      <c r="I3244" s="4" t="s">
        <v>2364</v>
      </c>
      <c r="J3244" s="4" t="s">
        <v>10347</v>
      </c>
      <c r="K3244" s="4" t="s">
        <v>10348</v>
      </c>
      <c r="L3244" s="5">
        <v>29100</v>
      </c>
    </row>
    <row r="3245" spans="1:12" x14ac:dyDescent="0.25">
      <c r="A3245" s="3" t="s">
        <v>10327</v>
      </c>
      <c r="B3245" s="4" t="s">
        <v>10328</v>
      </c>
      <c r="C3245" s="4" t="s">
        <v>14</v>
      </c>
      <c r="D3245" s="4" t="s">
        <v>15</v>
      </c>
      <c r="E3245" s="5" t="str">
        <f>"9140004"</f>
        <v>9140004</v>
      </c>
      <c r="F3245" s="3" t="s">
        <v>10349</v>
      </c>
      <c r="G3245" s="5">
        <v>2695022312</v>
      </c>
      <c r="H3245" s="4" t="s">
        <v>10350</v>
      </c>
      <c r="I3245" s="4" t="s">
        <v>2364</v>
      </c>
      <c r="J3245" s="4" t="s">
        <v>10340</v>
      </c>
      <c r="K3245" s="4" t="s">
        <v>10351</v>
      </c>
      <c r="L3245" s="5">
        <v>29100</v>
      </c>
    </row>
    <row r="3246" spans="1:12" x14ac:dyDescent="0.25">
      <c r="A3246" s="3" t="s">
        <v>10327</v>
      </c>
      <c r="B3246" s="4" t="s">
        <v>10328</v>
      </c>
      <c r="C3246" s="4" t="s">
        <v>14</v>
      </c>
      <c r="D3246" s="4" t="s">
        <v>15</v>
      </c>
      <c r="E3246" s="5" t="str">
        <f>"9140055"</f>
        <v>9140055</v>
      </c>
      <c r="F3246" s="3" t="s">
        <v>10352</v>
      </c>
      <c r="G3246" s="5">
        <v>2695051252</v>
      </c>
      <c r="H3246" s="4" t="s">
        <v>10353</v>
      </c>
      <c r="I3246" s="4" t="s">
        <v>2364</v>
      </c>
      <c r="J3246" s="4" t="s">
        <v>10354</v>
      </c>
      <c r="K3246" s="4" t="s">
        <v>10354</v>
      </c>
      <c r="L3246" s="5">
        <v>29092</v>
      </c>
    </row>
    <row r="3247" spans="1:12" x14ac:dyDescent="0.25">
      <c r="A3247" s="3" t="s">
        <v>10327</v>
      </c>
      <c r="B3247" s="4" t="s">
        <v>10328</v>
      </c>
      <c r="C3247" s="4" t="s">
        <v>25</v>
      </c>
      <c r="D3247" s="4" t="s">
        <v>26</v>
      </c>
      <c r="E3247" s="5" t="str">
        <f>"9140103"</f>
        <v>9140103</v>
      </c>
      <c r="F3247" s="3" t="s">
        <v>10355</v>
      </c>
      <c r="G3247" s="5">
        <v>2695043705</v>
      </c>
      <c r="H3247" s="4" t="s">
        <v>10356</v>
      </c>
      <c r="I3247" s="4" t="s">
        <v>2364</v>
      </c>
      <c r="J3247" s="4" t="s">
        <v>10357</v>
      </c>
      <c r="K3247" s="4" t="s">
        <v>10358</v>
      </c>
      <c r="L3247" s="5">
        <v>29100</v>
      </c>
    </row>
    <row r="3248" spans="1:12" x14ac:dyDescent="0.25">
      <c r="A3248" s="3" t="s">
        <v>10327</v>
      </c>
      <c r="B3248" s="4" t="s">
        <v>10328</v>
      </c>
      <c r="C3248" s="4" t="s">
        <v>14</v>
      </c>
      <c r="D3248" s="4" t="s">
        <v>15</v>
      </c>
      <c r="E3248" s="5" t="str">
        <f>"9140014"</f>
        <v>9140014</v>
      </c>
      <c r="F3248" s="3" t="s">
        <v>10359</v>
      </c>
      <c r="G3248" s="5">
        <v>2695029252</v>
      </c>
      <c r="H3248" s="4" t="s">
        <v>10360</v>
      </c>
      <c r="I3248" s="4" t="s">
        <v>2364</v>
      </c>
      <c r="J3248" s="4" t="s">
        <v>10361</v>
      </c>
      <c r="K3248" s="4" t="s">
        <v>10361</v>
      </c>
      <c r="L3248" s="5">
        <v>29100</v>
      </c>
    </row>
    <row r="3249" spans="1:12" x14ac:dyDescent="0.25">
      <c r="A3249" s="3" t="s">
        <v>10327</v>
      </c>
      <c r="B3249" s="4" t="s">
        <v>10328</v>
      </c>
      <c r="C3249" s="4" t="s">
        <v>14</v>
      </c>
      <c r="D3249" s="4" t="s">
        <v>15</v>
      </c>
      <c r="E3249" s="5" t="str">
        <f>"9140089"</f>
        <v>9140089</v>
      </c>
      <c r="F3249" s="3" t="s">
        <v>10362</v>
      </c>
      <c r="G3249" s="5">
        <v>2695061300</v>
      </c>
      <c r="H3249" s="4" t="s">
        <v>10363</v>
      </c>
      <c r="I3249" s="4" t="s">
        <v>2364</v>
      </c>
      <c r="J3249" s="4" t="s">
        <v>10364</v>
      </c>
      <c r="K3249" s="4" t="s">
        <v>10364</v>
      </c>
      <c r="L3249" s="5">
        <v>29100</v>
      </c>
    </row>
    <row r="3250" spans="1:12" x14ac:dyDescent="0.25">
      <c r="A3250" s="3" t="s">
        <v>10327</v>
      </c>
      <c r="B3250" s="4" t="s">
        <v>10328</v>
      </c>
      <c r="C3250" s="4" t="s">
        <v>25</v>
      </c>
      <c r="D3250" s="4" t="s">
        <v>26</v>
      </c>
      <c r="E3250" s="5" t="str">
        <f>"9140001"</f>
        <v>9140001</v>
      </c>
      <c r="F3250" s="3" t="s">
        <v>10365</v>
      </c>
      <c r="G3250" s="5">
        <v>2695028818</v>
      </c>
      <c r="H3250" s="4" t="s">
        <v>10366</v>
      </c>
      <c r="I3250" s="4" t="s">
        <v>2364</v>
      </c>
      <c r="J3250" s="4" t="s">
        <v>2364</v>
      </c>
      <c r="K3250" s="4" t="s">
        <v>10367</v>
      </c>
      <c r="L3250" s="5">
        <v>29100</v>
      </c>
    </row>
    <row r="3251" spans="1:12" x14ac:dyDescent="0.25">
      <c r="A3251" s="3" t="s">
        <v>10327</v>
      </c>
      <c r="B3251" s="4" t="s">
        <v>10328</v>
      </c>
      <c r="C3251" s="4" t="s">
        <v>14</v>
      </c>
      <c r="D3251" s="4" t="s">
        <v>15</v>
      </c>
      <c r="E3251" s="5" t="str">
        <f>"9140082"</f>
        <v>9140082</v>
      </c>
      <c r="F3251" s="3" t="s">
        <v>10368</v>
      </c>
      <c r="G3251" s="5">
        <v>2695042609</v>
      </c>
      <c r="H3251" s="4" t="s">
        <v>10369</v>
      </c>
      <c r="I3251" s="4" t="s">
        <v>2364</v>
      </c>
      <c r="J3251" s="4" t="s">
        <v>10340</v>
      </c>
      <c r="K3251" s="4" t="s">
        <v>10370</v>
      </c>
      <c r="L3251" s="5">
        <v>29100</v>
      </c>
    </row>
    <row r="3252" spans="1:12" x14ac:dyDescent="0.25">
      <c r="A3252" s="3" t="s">
        <v>10327</v>
      </c>
      <c r="B3252" s="4" t="s">
        <v>10328</v>
      </c>
      <c r="C3252" s="4" t="s">
        <v>14</v>
      </c>
      <c r="D3252" s="4" t="s">
        <v>15</v>
      </c>
      <c r="E3252" s="5" t="str">
        <f>"9140086"</f>
        <v>9140086</v>
      </c>
      <c r="F3252" s="3" t="s">
        <v>10371</v>
      </c>
      <c r="G3252" s="5">
        <v>2695029786</v>
      </c>
      <c r="H3252" s="4" t="s">
        <v>10372</v>
      </c>
      <c r="I3252" s="4" t="s">
        <v>2364</v>
      </c>
      <c r="J3252" s="4" t="s">
        <v>10340</v>
      </c>
      <c r="K3252" s="4" t="s">
        <v>10373</v>
      </c>
      <c r="L3252" s="5">
        <v>29100</v>
      </c>
    </row>
    <row r="3253" spans="1:12" x14ac:dyDescent="0.25">
      <c r="A3253" s="3" t="s">
        <v>10327</v>
      </c>
      <c r="B3253" s="4" t="s">
        <v>10328</v>
      </c>
      <c r="C3253" s="4" t="s">
        <v>14</v>
      </c>
      <c r="D3253" s="4" t="s">
        <v>15</v>
      </c>
      <c r="E3253" s="5" t="str">
        <f>"9140052"</f>
        <v>9140052</v>
      </c>
      <c r="F3253" s="3" t="s">
        <v>10374</v>
      </c>
      <c r="G3253" s="5">
        <v>2695051372</v>
      </c>
      <c r="H3253" s="4" t="s">
        <v>10375</v>
      </c>
      <c r="I3253" s="4" t="s">
        <v>2364</v>
      </c>
      <c r="J3253" s="4" t="s">
        <v>10376</v>
      </c>
      <c r="K3253" s="4" t="s">
        <v>10377</v>
      </c>
      <c r="L3253" s="5">
        <v>29092</v>
      </c>
    </row>
    <row r="3254" spans="1:12" x14ac:dyDescent="0.25">
      <c r="A3254" s="3" t="s">
        <v>10327</v>
      </c>
      <c r="B3254" s="4" t="s">
        <v>10328</v>
      </c>
      <c r="C3254" s="4" t="s">
        <v>14</v>
      </c>
      <c r="D3254" s="4" t="s">
        <v>15</v>
      </c>
      <c r="E3254" s="5" t="str">
        <f>"9140091"</f>
        <v>9140091</v>
      </c>
      <c r="F3254" s="3" t="s">
        <v>10378</v>
      </c>
      <c r="G3254" s="5">
        <v>2695092193</v>
      </c>
      <c r="H3254" s="4" t="s">
        <v>10379</v>
      </c>
      <c r="I3254" s="4" t="s">
        <v>2364</v>
      </c>
      <c r="J3254" s="4" t="s">
        <v>10340</v>
      </c>
      <c r="K3254" s="4" t="s">
        <v>10380</v>
      </c>
      <c r="L3254" s="5">
        <v>29092</v>
      </c>
    </row>
    <row r="3255" spans="1:12" x14ac:dyDescent="0.25">
      <c r="A3255" s="3" t="s">
        <v>10327</v>
      </c>
      <c r="B3255" s="4" t="s">
        <v>10328</v>
      </c>
      <c r="C3255" s="4" t="s">
        <v>14</v>
      </c>
      <c r="D3255" s="4" t="s">
        <v>15</v>
      </c>
      <c r="E3255" s="5" t="str">
        <f>"9140005"</f>
        <v>9140005</v>
      </c>
      <c r="F3255" s="3" t="s">
        <v>10381</v>
      </c>
      <c r="G3255" s="5">
        <v>2695041710</v>
      </c>
      <c r="H3255" s="4" t="s">
        <v>10382</v>
      </c>
      <c r="I3255" s="4" t="s">
        <v>2364</v>
      </c>
      <c r="J3255" s="4" t="s">
        <v>2364</v>
      </c>
      <c r="K3255" s="4" t="s">
        <v>10383</v>
      </c>
      <c r="L3255" s="5">
        <v>29100</v>
      </c>
    </row>
    <row r="3256" spans="1:12" x14ac:dyDescent="0.25">
      <c r="A3256" s="3" t="s">
        <v>10327</v>
      </c>
      <c r="B3256" s="4" t="s">
        <v>10328</v>
      </c>
      <c r="C3256" s="4" t="s">
        <v>25</v>
      </c>
      <c r="D3256" s="4" t="s">
        <v>26</v>
      </c>
      <c r="E3256" s="5" t="str">
        <f>"9140065"</f>
        <v>9140065</v>
      </c>
      <c r="F3256" s="3" t="s">
        <v>10384</v>
      </c>
      <c r="G3256" s="5">
        <v>2695028808</v>
      </c>
      <c r="H3256" s="4" t="s">
        <v>10385</v>
      </c>
      <c r="I3256" s="4" t="s">
        <v>2364</v>
      </c>
      <c r="J3256" s="4" t="s">
        <v>2364</v>
      </c>
      <c r="K3256" s="4" t="s">
        <v>10383</v>
      </c>
      <c r="L3256" s="5">
        <v>29100</v>
      </c>
    </row>
    <row r="3257" spans="1:12" x14ac:dyDescent="0.25">
      <c r="A3257" s="3" t="s">
        <v>10327</v>
      </c>
      <c r="B3257" s="4" t="s">
        <v>10328</v>
      </c>
      <c r="C3257" s="4" t="s">
        <v>25</v>
      </c>
      <c r="D3257" s="4" t="s">
        <v>26</v>
      </c>
      <c r="E3257" s="5" t="str">
        <f>"9140093"</f>
        <v>9140093</v>
      </c>
      <c r="F3257" s="3" t="s">
        <v>10386</v>
      </c>
      <c r="G3257" s="5">
        <v>2695051190</v>
      </c>
      <c r="H3257" s="4" t="s">
        <v>10387</v>
      </c>
      <c r="I3257" s="4" t="s">
        <v>2364</v>
      </c>
      <c r="J3257" s="4" t="s">
        <v>9325</v>
      </c>
      <c r="K3257" s="4" t="s">
        <v>10388</v>
      </c>
      <c r="L3257" s="5">
        <v>29092</v>
      </c>
    </row>
    <row r="3258" spans="1:12" x14ac:dyDescent="0.25">
      <c r="A3258" s="3" t="s">
        <v>10327</v>
      </c>
      <c r="B3258" s="4" t="s">
        <v>10328</v>
      </c>
      <c r="C3258" s="4" t="s">
        <v>25</v>
      </c>
      <c r="D3258" s="4" t="s">
        <v>26</v>
      </c>
      <c r="E3258" s="5" t="str">
        <f>"9140069"</f>
        <v>9140069</v>
      </c>
      <c r="F3258" s="3" t="s">
        <v>10389</v>
      </c>
      <c r="G3258" s="5">
        <v>2695041842</v>
      </c>
      <c r="H3258" s="4" t="s">
        <v>10390</v>
      </c>
      <c r="I3258" s="4" t="s">
        <v>2364</v>
      </c>
      <c r="J3258" s="4" t="s">
        <v>10391</v>
      </c>
      <c r="K3258" s="4" t="s">
        <v>10351</v>
      </c>
      <c r="L3258" s="5">
        <v>29100</v>
      </c>
    </row>
    <row r="3259" spans="1:12" x14ac:dyDescent="0.25">
      <c r="A3259" s="3" t="s">
        <v>10327</v>
      </c>
      <c r="B3259" s="4" t="s">
        <v>10328</v>
      </c>
      <c r="C3259" s="4" t="s">
        <v>25</v>
      </c>
      <c r="D3259" s="4" t="s">
        <v>26</v>
      </c>
      <c r="E3259" s="5" t="str">
        <f>"9140110"</f>
        <v>9140110</v>
      </c>
      <c r="F3259" s="3" t="s">
        <v>10392</v>
      </c>
      <c r="G3259" s="5">
        <v>2695023859</v>
      </c>
      <c r="H3259" s="4" t="s">
        <v>10393</v>
      </c>
      <c r="I3259" s="4" t="s">
        <v>2364</v>
      </c>
      <c r="J3259" s="4" t="s">
        <v>10394</v>
      </c>
      <c r="K3259" s="4" t="s">
        <v>10395</v>
      </c>
      <c r="L3259" s="5">
        <v>29100</v>
      </c>
    </row>
    <row r="3260" spans="1:12" x14ac:dyDescent="0.25">
      <c r="A3260" s="3" t="s">
        <v>10327</v>
      </c>
      <c r="B3260" s="4" t="s">
        <v>10328</v>
      </c>
      <c r="C3260" s="4" t="s">
        <v>25</v>
      </c>
      <c r="D3260" s="4" t="s">
        <v>26</v>
      </c>
      <c r="E3260" s="5" t="str">
        <f>"9140067"</f>
        <v>9140067</v>
      </c>
      <c r="F3260" s="3" t="s">
        <v>10396</v>
      </c>
      <c r="G3260" s="5">
        <v>2695028707</v>
      </c>
      <c r="H3260" s="4" t="s">
        <v>10397</v>
      </c>
      <c r="I3260" s="4" t="s">
        <v>2364</v>
      </c>
      <c r="J3260" s="4" t="s">
        <v>10398</v>
      </c>
      <c r="K3260" s="4" t="s">
        <v>10399</v>
      </c>
      <c r="L3260" s="5">
        <v>29100</v>
      </c>
    </row>
    <row r="3261" spans="1:12" x14ac:dyDescent="0.25">
      <c r="A3261" s="3" t="s">
        <v>10327</v>
      </c>
      <c r="B3261" s="4" t="s">
        <v>10328</v>
      </c>
      <c r="C3261" s="4" t="s">
        <v>25</v>
      </c>
      <c r="D3261" s="4" t="s">
        <v>26</v>
      </c>
      <c r="E3261" s="5" t="str">
        <f>"9140073"</f>
        <v>9140073</v>
      </c>
      <c r="F3261" s="3" t="s">
        <v>10400</v>
      </c>
      <c r="G3261" s="5">
        <v>2695051525</v>
      </c>
      <c r="H3261" s="4" t="s">
        <v>10401</v>
      </c>
      <c r="I3261" s="4" t="s">
        <v>2364</v>
      </c>
      <c r="J3261" s="4" t="s">
        <v>10402</v>
      </c>
      <c r="K3261" s="4" t="s">
        <v>10354</v>
      </c>
      <c r="L3261" s="5">
        <v>29092</v>
      </c>
    </row>
    <row r="3262" spans="1:12" x14ac:dyDescent="0.25">
      <c r="A3262" s="3" t="s">
        <v>10327</v>
      </c>
      <c r="B3262" s="4" t="s">
        <v>10328</v>
      </c>
      <c r="C3262" s="4" t="s">
        <v>14</v>
      </c>
      <c r="D3262" s="4" t="s">
        <v>15</v>
      </c>
      <c r="E3262" s="5" t="str">
        <f>"9140090"</f>
        <v>9140090</v>
      </c>
      <c r="F3262" s="3" t="s">
        <v>10403</v>
      </c>
      <c r="G3262" s="5">
        <v>2695092251</v>
      </c>
      <c r="H3262" s="4" t="s">
        <v>10404</v>
      </c>
      <c r="I3262" s="4" t="s">
        <v>2364</v>
      </c>
      <c r="J3262" s="4" t="s">
        <v>10405</v>
      </c>
      <c r="K3262" s="4" t="s">
        <v>10405</v>
      </c>
      <c r="L3262" s="5">
        <v>29092</v>
      </c>
    </row>
    <row r="3263" spans="1:12" x14ac:dyDescent="0.25">
      <c r="A3263" s="3" t="s">
        <v>10327</v>
      </c>
      <c r="B3263" s="4" t="s">
        <v>10328</v>
      </c>
      <c r="C3263" s="4" t="s">
        <v>14</v>
      </c>
      <c r="D3263" s="4" t="s">
        <v>15</v>
      </c>
      <c r="E3263" s="5" t="str">
        <f>"9140102"</f>
        <v>9140102</v>
      </c>
      <c r="F3263" s="3" t="s">
        <v>10406</v>
      </c>
      <c r="G3263" s="5">
        <v>2695061920</v>
      </c>
      <c r="H3263" s="4" t="s">
        <v>10407</v>
      </c>
      <c r="I3263" s="4" t="s">
        <v>2364</v>
      </c>
      <c r="J3263" s="4"/>
      <c r="K3263" s="4" t="s">
        <v>10408</v>
      </c>
      <c r="L3263" s="5">
        <v>29090</v>
      </c>
    </row>
    <row r="3264" spans="1:12" x14ac:dyDescent="0.25">
      <c r="A3264" s="3" t="s">
        <v>10327</v>
      </c>
      <c r="B3264" s="4" t="s">
        <v>10328</v>
      </c>
      <c r="C3264" s="4" t="s">
        <v>14</v>
      </c>
      <c r="D3264" s="4" t="s">
        <v>15</v>
      </c>
      <c r="E3264" s="5" t="str">
        <f>"9140045"</f>
        <v>9140045</v>
      </c>
      <c r="F3264" s="3" t="s">
        <v>10409</v>
      </c>
      <c r="G3264" s="5">
        <v>2695051283</v>
      </c>
      <c r="H3264" s="4" t="s">
        <v>10410</v>
      </c>
      <c r="I3264" s="4" t="s">
        <v>2364</v>
      </c>
      <c r="J3264" s="4" t="s">
        <v>10411</v>
      </c>
      <c r="K3264" s="4" t="s">
        <v>10412</v>
      </c>
      <c r="L3264" s="5">
        <v>29092</v>
      </c>
    </row>
    <row r="3265" spans="1:12" x14ac:dyDescent="0.25">
      <c r="A3265" s="3" t="s">
        <v>10327</v>
      </c>
      <c r="B3265" s="4" t="s">
        <v>10328</v>
      </c>
      <c r="C3265" s="4" t="s">
        <v>14</v>
      </c>
      <c r="D3265" s="4" t="s">
        <v>15</v>
      </c>
      <c r="E3265" s="5" t="str">
        <f>"9140003"</f>
        <v>9140003</v>
      </c>
      <c r="F3265" s="3" t="s">
        <v>10413</v>
      </c>
      <c r="G3265" s="5">
        <v>2695180059</v>
      </c>
      <c r="H3265" s="4" t="s">
        <v>10414</v>
      </c>
      <c r="I3265" s="4" t="s">
        <v>2364</v>
      </c>
      <c r="J3265" s="4" t="s">
        <v>10415</v>
      </c>
      <c r="K3265" s="4" t="s">
        <v>10416</v>
      </c>
      <c r="L3265" s="5">
        <v>29100</v>
      </c>
    </row>
    <row r="3266" spans="1:12" x14ac:dyDescent="0.25">
      <c r="A3266" s="3" t="s">
        <v>10327</v>
      </c>
      <c r="B3266" s="4" t="s">
        <v>10328</v>
      </c>
      <c r="C3266" s="4" t="s">
        <v>25</v>
      </c>
      <c r="D3266" s="4" t="s">
        <v>26</v>
      </c>
      <c r="E3266" s="5" t="str">
        <f>"9520580"</f>
        <v>9520580</v>
      </c>
      <c r="F3266" s="3" t="s">
        <v>10417</v>
      </c>
      <c r="G3266" s="5">
        <v>2695063633</v>
      </c>
      <c r="H3266" s="4" t="s">
        <v>10418</v>
      </c>
      <c r="I3266" s="4" t="s">
        <v>2364</v>
      </c>
      <c r="J3266" s="4" t="s">
        <v>10340</v>
      </c>
      <c r="K3266" s="4" t="s">
        <v>10419</v>
      </c>
      <c r="L3266" s="5">
        <v>29100</v>
      </c>
    </row>
    <row r="3267" spans="1:12" x14ac:dyDescent="0.25">
      <c r="A3267" s="3" t="s">
        <v>10327</v>
      </c>
      <c r="B3267" s="4" t="s">
        <v>10328</v>
      </c>
      <c r="C3267" s="4" t="s">
        <v>25</v>
      </c>
      <c r="D3267" s="4" t="s">
        <v>26</v>
      </c>
      <c r="E3267" s="5" t="str">
        <f>"9140002"</f>
        <v>9140002</v>
      </c>
      <c r="F3267" s="3" t="s">
        <v>10420</v>
      </c>
      <c r="G3267" s="5">
        <v>2695028722</v>
      </c>
      <c r="H3267" s="4" t="s">
        <v>10421</v>
      </c>
      <c r="I3267" s="4" t="s">
        <v>2364</v>
      </c>
      <c r="J3267" s="4" t="s">
        <v>2364</v>
      </c>
      <c r="K3267" s="4" t="s">
        <v>10422</v>
      </c>
      <c r="L3267" s="5">
        <v>29100</v>
      </c>
    </row>
    <row r="3268" spans="1:12" x14ac:dyDescent="0.25">
      <c r="A3268" s="3" t="s">
        <v>10327</v>
      </c>
      <c r="B3268" s="4" t="s">
        <v>10328</v>
      </c>
      <c r="C3268" s="4" t="s">
        <v>25</v>
      </c>
      <c r="D3268" s="4" t="s">
        <v>26</v>
      </c>
      <c r="E3268" s="5" t="str">
        <f>"9140081"</f>
        <v>9140081</v>
      </c>
      <c r="F3268" s="3" t="s">
        <v>10423</v>
      </c>
      <c r="G3268" s="5">
        <v>2695026959</v>
      </c>
      <c r="H3268" s="4" t="s">
        <v>10424</v>
      </c>
      <c r="I3268" s="4" t="s">
        <v>2364</v>
      </c>
      <c r="J3268" s="4" t="s">
        <v>2364</v>
      </c>
      <c r="K3268" s="4" t="s">
        <v>10425</v>
      </c>
      <c r="L3268" s="5">
        <v>29100</v>
      </c>
    </row>
    <row r="3269" spans="1:12" ht="30" x14ac:dyDescent="0.25">
      <c r="A3269" s="3" t="s">
        <v>10327</v>
      </c>
      <c r="B3269" s="4" t="s">
        <v>10426</v>
      </c>
      <c r="C3269" s="4" t="s">
        <v>25</v>
      </c>
      <c r="D3269" s="4" t="s">
        <v>26</v>
      </c>
      <c r="E3269" s="5" t="str">
        <f>"9240221"</f>
        <v>9240221</v>
      </c>
      <c r="F3269" s="3" t="s">
        <v>10427</v>
      </c>
      <c r="G3269" s="5">
        <v>2662032613</v>
      </c>
      <c r="H3269" s="4" t="s">
        <v>10428</v>
      </c>
      <c r="I3269" s="4" t="s">
        <v>10429</v>
      </c>
      <c r="J3269" s="4" t="s">
        <v>10430</v>
      </c>
      <c r="K3269" s="4" t="s">
        <v>10430</v>
      </c>
      <c r="L3269" s="5">
        <v>49082</v>
      </c>
    </row>
    <row r="3270" spans="1:12" x14ac:dyDescent="0.25">
      <c r="A3270" s="3" t="s">
        <v>10327</v>
      </c>
      <c r="B3270" s="4" t="s">
        <v>10426</v>
      </c>
      <c r="C3270" s="4" t="s">
        <v>25</v>
      </c>
      <c r="D3270" s="4" t="s">
        <v>26</v>
      </c>
      <c r="E3270" s="5" t="str">
        <f>"9240206"</f>
        <v>9240206</v>
      </c>
      <c r="F3270" s="3" t="s">
        <v>10431</v>
      </c>
      <c r="G3270" s="5">
        <v>2661036120</v>
      </c>
      <c r="H3270" s="4" t="s">
        <v>10432</v>
      </c>
      <c r="I3270" s="4" t="s">
        <v>10433</v>
      </c>
      <c r="J3270" s="4" t="s">
        <v>10434</v>
      </c>
      <c r="K3270" s="4" t="s">
        <v>10435</v>
      </c>
      <c r="L3270" s="5">
        <v>49100</v>
      </c>
    </row>
    <row r="3271" spans="1:12" x14ac:dyDescent="0.25">
      <c r="A3271" s="3" t="s">
        <v>10327</v>
      </c>
      <c r="B3271" s="4" t="s">
        <v>10426</v>
      </c>
      <c r="C3271" s="4" t="s">
        <v>14</v>
      </c>
      <c r="D3271" s="4" t="s">
        <v>15</v>
      </c>
      <c r="E3271" s="5" t="str">
        <f>"9240111"</f>
        <v>9240111</v>
      </c>
      <c r="F3271" s="3" t="s">
        <v>10436</v>
      </c>
      <c r="G3271" s="5">
        <v>2663041249</v>
      </c>
      <c r="H3271" s="4" t="s">
        <v>10437</v>
      </c>
      <c r="I3271" s="4" t="s">
        <v>10433</v>
      </c>
      <c r="J3271" s="4" t="s">
        <v>10438</v>
      </c>
      <c r="K3271" s="4" t="s">
        <v>10439</v>
      </c>
      <c r="L3271" s="5">
        <v>49083</v>
      </c>
    </row>
    <row r="3272" spans="1:12" x14ac:dyDescent="0.25">
      <c r="A3272" s="3" t="s">
        <v>10327</v>
      </c>
      <c r="B3272" s="4" t="s">
        <v>10426</v>
      </c>
      <c r="C3272" s="4" t="s">
        <v>25</v>
      </c>
      <c r="D3272" s="4" t="s">
        <v>26</v>
      </c>
      <c r="E3272" s="5" t="str">
        <f>"9240250"</f>
        <v>9240250</v>
      </c>
      <c r="F3272" s="3" t="s">
        <v>10440</v>
      </c>
      <c r="G3272" s="5">
        <v>2661025307</v>
      </c>
      <c r="H3272" s="4" t="s">
        <v>10441</v>
      </c>
      <c r="I3272" s="4" t="s">
        <v>10433</v>
      </c>
      <c r="J3272" s="4" t="s">
        <v>8861</v>
      </c>
      <c r="K3272" s="4" t="s">
        <v>10442</v>
      </c>
      <c r="L3272" s="5">
        <v>49100</v>
      </c>
    </row>
    <row r="3273" spans="1:12" x14ac:dyDescent="0.25">
      <c r="A3273" s="3" t="s">
        <v>10327</v>
      </c>
      <c r="B3273" s="4" t="s">
        <v>10426</v>
      </c>
      <c r="C3273" s="4" t="s">
        <v>14</v>
      </c>
      <c r="D3273" s="4" t="s">
        <v>15</v>
      </c>
      <c r="E3273" s="5" t="str">
        <f>"9240181"</f>
        <v>9240181</v>
      </c>
      <c r="F3273" s="3" t="s">
        <v>10443</v>
      </c>
      <c r="G3273" s="5">
        <v>2661025387</v>
      </c>
      <c r="H3273" s="4" t="s">
        <v>10444</v>
      </c>
      <c r="I3273" s="4" t="s">
        <v>10433</v>
      </c>
      <c r="J3273" s="4" t="s">
        <v>10445</v>
      </c>
      <c r="K3273" s="4" t="s">
        <v>10446</v>
      </c>
      <c r="L3273" s="5">
        <v>49100</v>
      </c>
    </row>
    <row r="3274" spans="1:12" x14ac:dyDescent="0.25">
      <c r="A3274" s="3" t="s">
        <v>10327</v>
      </c>
      <c r="B3274" s="4" t="s">
        <v>10426</v>
      </c>
      <c r="C3274" s="4" t="s">
        <v>14</v>
      </c>
      <c r="D3274" s="4" t="s">
        <v>15</v>
      </c>
      <c r="E3274" s="5" t="str">
        <f>"9240031"</f>
        <v>9240031</v>
      </c>
      <c r="F3274" s="3" t="s">
        <v>10447</v>
      </c>
      <c r="G3274" s="5">
        <v>2661051464</v>
      </c>
      <c r="H3274" s="4" t="s">
        <v>10448</v>
      </c>
      <c r="I3274" s="4" t="s">
        <v>10433</v>
      </c>
      <c r="J3274" s="4" t="s">
        <v>10449</v>
      </c>
      <c r="K3274" s="4" t="s">
        <v>10449</v>
      </c>
      <c r="L3274" s="5">
        <v>49100</v>
      </c>
    </row>
    <row r="3275" spans="1:12" x14ac:dyDescent="0.25">
      <c r="A3275" s="3" t="s">
        <v>10327</v>
      </c>
      <c r="B3275" s="4" t="s">
        <v>10426</v>
      </c>
      <c r="C3275" s="4" t="s">
        <v>14</v>
      </c>
      <c r="D3275" s="4" t="s">
        <v>15</v>
      </c>
      <c r="E3275" s="5" t="str">
        <f>"9240081"</f>
        <v>9240081</v>
      </c>
      <c r="F3275" s="3" t="s">
        <v>10450</v>
      </c>
      <c r="G3275" s="5">
        <v>2661038292</v>
      </c>
      <c r="H3275" s="4" t="s">
        <v>10451</v>
      </c>
      <c r="I3275" s="4" t="s">
        <v>10433</v>
      </c>
      <c r="J3275" s="4" t="s">
        <v>10434</v>
      </c>
      <c r="K3275" s="4" t="s">
        <v>10452</v>
      </c>
      <c r="L3275" s="5">
        <v>49100</v>
      </c>
    </row>
    <row r="3276" spans="1:12" x14ac:dyDescent="0.25">
      <c r="A3276" s="3" t="s">
        <v>10327</v>
      </c>
      <c r="B3276" s="4" t="s">
        <v>10426</v>
      </c>
      <c r="C3276" s="4" t="s">
        <v>14</v>
      </c>
      <c r="D3276" s="4" t="s">
        <v>15</v>
      </c>
      <c r="E3276" s="5" t="str">
        <f>"9240084"</f>
        <v>9240084</v>
      </c>
      <c r="F3276" s="3" t="s">
        <v>10453</v>
      </c>
      <c r="G3276" s="5">
        <v>2661039804</v>
      </c>
      <c r="H3276" s="4" t="s">
        <v>10454</v>
      </c>
      <c r="I3276" s="4" t="s">
        <v>10433</v>
      </c>
      <c r="J3276" s="4" t="s">
        <v>10455</v>
      </c>
      <c r="K3276" s="4" t="s">
        <v>10456</v>
      </c>
      <c r="L3276" s="5">
        <v>49132</v>
      </c>
    </row>
    <row r="3277" spans="1:12" x14ac:dyDescent="0.25">
      <c r="A3277" s="3" t="s">
        <v>10327</v>
      </c>
      <c r="B3277" s="4" t="s">
        <v>10426</v>
      </c>
      <c r="C3277" s="4" t="s">
        <v>14</v>
      </c>
      <c r="D3277" s="4" t="s">
        <v>15</v>
      </c>
      <c r="E3277" s="5" t="str">
        <f>"9240023"</f>
        <v>9240023</v>
      </c>
      <c r="F3277" s="3" t="s">
        <v>10457</v>
      </c>
      <c r="G3277" s="5">
        <v>2661040118</v>
      </c>
      <c r="H3277" s="4" t="s">
        <v>10458</v>
      </c>
      <c r="I3277" s="4" t="s">
        <v>10433</v>
      </c>
      <c r="J3277" s="4" t="s">
        <v>10459</v>
      </c>
      <c r="K3277" s="4" t="s">
        <v>10460</v>
      </c>
      <c r="L3277" s="5">
        <v>49084</v>
      </c>
    </row>
    <row r="3278" spans="1:12" x14ac:dyDescent="0.25">
      <c r="A3278" s="3" t="s">
        <v>10327</v>
      </c>
      <c r="B3278" s="4" t="s">
        <v>10426</v>
      </c>
      <c r="C3278" s="4" t="s">
        <v>14</v>
      </c>
      <c r="D3278" s="4" t="s">
        <v>15</v>
      </c>
      <c r="E3278" s="5" t="str">
        <f>"9240036"</f>
        <v>9240036</v>
      </c>
      <c r="F3278" s="3" t="s">
        <v>10461</v>
      </c>
      <c r="G3278" s="5">
        <v>2661054305</v>
      </c>
      <c r="H3278" s="4" t="s">
        <v>10462</v>
      </c>
      <c r="I3278" s="4" t="s">
        <v>10433</v>
      </c>
      <c r="J3278" s="4" t="s">
        <v>10463</v>
      </c>
      <c r="K3278" s="4" t="s">
        <v>10463</v>
      </c>
      <c r="L3278" s="5">
        <v>49084</v>
      </c>
    </row>
    <row r="3279" spans="1:12" x14ac:dyDescent="0.25">
      <c r="A3279" s="3" t="s">
        <v>10327</v>
      </c>
      <c r="B3279" s="4" t="s">
        <v>10426</v>
      </c>
      <c r="C3279" s="4" t="s">
        <v>14</v>
      </c>
      <c r="D3279" s="4" t="s">
        <v>15</v>
      </c>
      <c r="E3279" s="5" t="str">
        <f>"9240088"</f>
        <v>9240088</v>
      </c>
      <c r="F3279" s="3" t="s">
        <v>10464</v>
      </c>
      <c r="G3279" s="5">
        <v>2661034077</v>
      </c>
      <c r="H3279" s="4" t="s">
        <v>10465</v>
      </c>
      <c r="I3279" s="4" t="s">
        <v>10433</v>
      </c>
      <c r="J3279" s="4" t="s">
        <v>6434</v>
      </c>
      <c r="K3279" s="4" t="s">
        <v>10466</v>
      </c>
      <c r="L3279" s="5">
        <v>49100</v>
      </c>
    </row>
    <row r="3280" spans="1:12" x14ac:dyDescent="0.25">
      <c r="A3280" s="3" t="s">
        <v>10327</v>
      </c>
      <c r="B3280" s="4" t="s">
        <v>10426</v>
      </c>
      <c r="C3280" s="4" t="s">
        <v>25</v>
      </c>
      <c r="D3280" s="4" t="s">
        <v>26</v>
      </c>
      <c r="E3280" s="5" t="str">
        <f>"9240197"</f>
        <v>9240197</v>
      </c>
      <c r="F3280" s="3" t="s">
        <v>10467</v>
      </c>
      <c r="G3280" s="5">
        <v>2661049551</v>
      </c>
      <c r="H3280" s="4" t="s">
        <v>10468</v>
      </c>
      <c r="I3280" s="4" t="s">
        <v>10433</v>
      </c>
      <c r="J3280" s="4" t="s">
        <v>10434</v>
      </c>
      <c r="K3280" s="4" t="s">
        <v>10469</v>
      </c>
      <c r="L3280" s="5">
        <v>49100</v>
      </c>
    </row>
    <row r="3281" spans="1:12" x14ac:dyDescent="0.25">
      <c r="A3281" s="3" t="s">
        <v>10327</v>
      </c>
      <c r="B3281" s="4" t="s">
        <v>10426</v>
      </c>
      <c r="C3281" s="4" t="s">
        <v>14</v>
      </c>
      <c r="D3281" s="4" t="s">
        <v>15</v>
      </c>
      <c r="E3281" s="5" t="str">
        <f>"9240001"</f>
        <v>9240001</v>
      </c>
      <c r="F3281" s="3" t="s">
        <v>10470</v>
      </c>
      <c r="G3281" s="5">
        <v>2661030605</v>
      </c>
      <c r="H3281" s="4" t="s">
        <v>10471</v>
      </c>
      <c r="I3281" s="4" t="s">
        <v>10433</v>
      </c>
      <c r="J3281" s="4" t="s">
        <v>10434</v>
      </c>
      <c r="K3281" s="4" t="s">
        <v>10472</v>
      </c>
      <c r="L3281" s="5">
        <v>49100</v>
      </c>
    </row>
    <row r="3282" spans="1:12" x14ac:dyDescent="0.25">
      <c r="A3282" s="3" t="s">
        <v>10327</v>
      </c>
      <c r="B3282" s="4" t="s">
        <v>10426</v>
      </c>
      <c r="C3282" s="4" t="s">
        <v>25</v>
      </c>
      <c r="D3282" s="4" t="s">
        <v>26</v>
      </c>
      <c r="E3282" s="5" t="str">
        <f>"9240119"</f>
        <v>9240119</v>
      </c>
      <c r="F3282" s="3" t="s">
        <v>10473</v>
      </c>
      <c r="G3282" s="5">
        <v>2663031191</v>
      </c>
      <c r="H3282" s="4" t="s">
        <v>10474</v>
      </c>
      <c r="I3282" s="4" t="s">
        <v>10475</v>
      </c>
      <c r="J3282" s="4" t="s">
        <v>10476</v>
      </c>
      <c r="K3282" s="4" t="s">
        <v>10476</v>
      </c>
      <c r="L3282" s="5">
        <v>49081</v>
      </c>
    </row>
    <row r="3283" spans="1:12" x14ac:dyDescent="0.25">
      <c r="A3283" s="3" t="s">
        <v>10327</v>
      </c>
      <c r="B3283" s="4" t="s">
        <v>10426</v>
      </c>
      <c r="C3283" s="4" t="s">
        <v>14</v>
      </c>
      <c r="D3283" s="4" t="s">
        <v>15</v>
      </c>
      <c r="E3283" s="5" t="str">
        <f>"9240059"</f>
        <v>9240059</v>
      </c>
      <c r="F3283" s="3" t="s">
        <v>10477</v>
      </c>
      <c r="G3283" s="5">
        <v>2661360200</v>
      </c>
      <c r="H3283" s="4" t="s">
        <v>10478</v>
      </c>
      <c r="I3283" s="4" t="s">
        <v>10433</v>
      </c>
      <c r="J3283" s="4" t="s">
        <v>10434</v>
      </c>
      <c r="K3283" s="4" t="s">
        <v>10479</v>
      </c>
      <c r="L3283" s="5">
        <v>49084</v>
      </c>
    </row>
    <row r="3284" spans="1:12" x14ac:dyDescent="0.25">
      <c r="A3284" s="3" t="s">
        <v>10327</v>
      </c>
      <c r="B3284" s="4" t="s">
        <v>10426</v>
      </c>
      <c r="C3284" s="4" t="s">
        <v>14</v>
      </c>
      <c r="D3284" s="4" t="s">
        <v>15</v>
      </c>
      <c r="E3284" s="5" t="str">
        <f>"9240051"</f>
        <v>9240051</v>
      </c>
      <c r="F3284" s="3" t="s">
        <v>10480</v>
      </c>
      <c r="G3284" s="5">
        <v>2662023442</v>
      </c>
      <c r="H3284" s="4" t="s">
        <v>10481</v>
      </c>
      <c r="I3284" s="4" t="s">
        <v>10482</v>
      </c>
      <c r="J3284" s="4" t="s">
        <v>10483</v>
      </c>
      <c r="K3284" s="4" t="s">
        <v>6928</v>
      </c>
      <c r="L3284" s="5">
        <v>49080</v>
      </c>
    </row>
    <row r="3285" spans="1:12" x14ac:dyDescent="0.25">
      <c r="A3285" s="3" t="s">
        <v>10327</v>
      </c>
      <c r="B3285" s="4" t="s">
        <v>10426</v>
      </c>
      <c r="C3285" s="4" t="s">
        <v>14</v>
      </c>
      <c r="D3285" s="4" t="s">
        <v>15</v>
      </c>
      <c r="E3285" s="5" t="str">
        <f>"9240004"</f>
        <v>9240004</v>
      </c>
      <c r="F3285" s="3" t="s">
        <v>10484</v>
      </c>
      <c r="G3285" s="5">
        <v>2661039320</v>
      </c>
      <c r="H3285" s="4" t="s">
        <v>10485</v>
      </c>
      <c r="I3285" s="4" t="s">
        <v>10433</v>
      </c>
      <c r="J3285" s="4" t="s">
        <v>10445</v>
      </c>
      <c r="K3285" s="4" t="s">
        <v>10486</v>
      </c>
      <c r="L3285" s="5">
        <v>49100</v>
      </c>
    </row>
    <row r="3286" spans="1:12" x14ac:dyDescent="0.25">
      <c r="A3286" s="3" t="s">
        <v>10327</v>
      </c>
      <c r="B3286" s="4" t="s">
        <v>10426</v>
      </c>
      <c r="C3286" s="4" t="s">
        <v>14</v>
      </c>
      <c r="D3286" s="4" t="s">
        <v>15</v>
      </c>
      <c r="E3286" s="5" t="str">
        <f>"9240130"</f>
        <v>9240130</v>
      </c>
      <c r="F3286" s="3" t="s">
        <v>10487</v>
      </c>
      <c r="G3286" s="5">
        <v>2663041167</v>
      </c>
      <c r="H3286" s="4" t="s">
        <v>10488</v>
      </c>
      <c r="I3286" s="4" t="s">
        <v>10433</v>
      </c>
      <c r="J3286" s="4" t="s">
        <v>10489</v>
      </c>
      <c r="K3286" s="4" t="s">
        <v>10489</v>
      </c>
      <c r="L3286" s="5">
        <v>49083</v>
      </c>
    </row>
    <row r="3287" spans="1:12" x14ac:dyDescent="0.25">
      <c r="A3287" s="3" t="s">
        <v>10327</v>
      </c>
      <c r="B3287" s="4" t="s">
        <v>10426</v>
      </c>
      <c r="C3287" s="4" t="s">
        <v>14</v>
      </c>
      <c r="D3287" s="4" t="s">
        <v>15</v>
      </c>
      <c r="E3287" s="5" t="str">
        <f>"9240120"</f>
        <v>9240120</v>
      </c>
      <c r="F3287" s="3" t="s">
        <v>10490</v>
      </c>
      <c r="G3287" s="5">
        <v>2663031202</v>
      </c>
      <c r="H3287" s="4" t="s">
        <v>10491</v>
      </c>
      <c r="I3287" s="4" t="s">
        <v>10475</v>
      </c>
      <c r="J3287" s="4" t="s">
        <v>10476</v>
      </c>
      <c r="K3287" s="4" t="s">
        <v>10476</v>
      </c>
      <c r="L3287" s="5">
        <v>49081</v>
      </c>
    </row>
    <row r="3288" spans="1:12" x14ac:dyDescent="0.25">
      <c r="A3288" s="3" t="s">
        <v>10327</v>
      </c>
      <c r="B3288" s="4" t="s">
        <v>10426</v>
      </c>
      <c r="C3288" s="4" t="s">
        <v>14</v>
      </c>
      <c r="D3288" s="4" t="s">
        <v>15</v>
      </c>
      <c r="E3288" s="5" t="str">
        <f>"9240013"</f>
        <v>9240013</v>
      </c>
      <c r="F3288" s="3" t="s">
        <v>10492</v>
      </c>
      <c r="G3288" s="5">
        <v>2661036553</v>
      </c>
      <c r="H3288" s="4" t="s">
        <v>10493</v>
      </c>
      <c r="I3288" s="4" t="s">
        <v>10433</v>
      </c>
      <c r="J3288" s="4" t="s">
        <v>10494</v>
      </c>
      <c r="K3288" s="4" t="s">
        <v>10495</v>
      </c>
      <c r="L3288" s="5">
        <v>49100</v>
      </c>
    </row>
    <row r="3289" spans="1:12" x14ac:dyDescent="0.25">
      <c r="A3289" s="3" t="s">
        <v>10327</v>
      </c>
      <c r="B3289" s="4" t="s">
        <v>10426</v>
      </c>
      <c r="C3289" s="4" t="s">
        <v>25</v>
      </c>
      <c r="D3289" s="4" t="s">
        <v>26</v>
      </c>
      <c r="E3289" s="5" t="str">
        <f>"9240087"</f>
        <v>9240087</v>
      </c>
      <c r="F3289" s="3" t="s">
        <v>10496</v>
      </c>
      <c r="G3289" s="5">
        <v>2661046588</v>
      </c>
      <c r="H3289" s="4" t="s">
        <v>10497</v>
      </c>
      <c r="I3289" s="4" t="s">
        <v>10433</v>
      </c>
      <c r="J3289" s="4" t="s">
        <v>6434</v>
      </c>
      <c r="K3289" s="4" t="s">
        <v>10498</v>
      </c>
      <c r="L3289" s="5">
        <v>49100</v>
      </c>
    </row>
    <row r="3290" spans="1:12" x14ac:dyDescent="0.25">
      <c r="A3290" s="3" t="s">
        <v>10327</v>
      </c>
      <c r="B3290" s="4" t="s">
        <v>10426</v>
      </c>
      <c r="C3290" s="4" t="s">
        <v>14</v>
      </c>
      <c r="D3290" s="4" t="s">
        <v>15</v>
      </c>
      <c r="E3290" s="5" t="str">
        <f>"9240058"</f>
        <v>9240058</v>
      </c>
      <c r="F3290" s="3" t="s">
        <v>10499</v>
      </c>
      <c r="G3290" s="5">
        <v>2662022539</v>
      </c>
      <c r="H3290" s="4" t="s">
        <v>10500</v>
      </c>
      <c r="I3290" s="4" t="s">
        <v>10482</v>
      </c>
      <c r="J3290" s="4" t="s">
        <v>10501</v>
      </c>
      <c r="K3290" s="4" t="s">
        <v>10502</v>
      </c>
      <c r="L3290" s="5">
        <v>49080</v>
      </c>
    </row>
    <row r="3291" spans="1:12" x14ac:dyDescent="0.25">
      <c r="A3291" s="3" t="s">
        <v>10327</v>
      </c>
      <c r="B3291" s="4" t="s">
        <v>10426</v>
      </c>
      <c r="C3291" s="4" t="s">
        <v>14</v>
      </c>
      <c r="D3291" s="4" t="s">
        <v>15</v>
      </c>
      <c r="E3291" s="5" t="str">
        <f>"9240035"</f>
        <v>9240035</v>
      </c>
      <c r="F3291" s="3" t="s">
        <v>10503</v>
      </c>
      <c r="G3291" s="5">
        <v>2661038116</v>
      </c>
      <c r="H3291" s="4" t="s">
        <v>10504</v>
      </c>
      <c r="I3291" s="4" t="s">
        <v>10433</v>
      </c>
      <c r="J3291" s="4" t="s">
        <v>10434</v>
      </c>
      <c r="K3291" s="4" t="s">
        <v>10091</v>
      </c>
      <c r="L3291" s="5">
        <v>49100</v>
      </c>
    </row>
    <row r="3292" spans="1:12" x14ac:dyDescent="0.25">
      <c r="A3292" s="3" t="s">
        <v>10327</v>
      </c>
      <c r="B3292" s="4" t="s">
        <v>10426</v>
      </c>
      <c r="C3292" s="4" t="s">
        <v>25</v>
      </c>
      <c r="D3292" s="4" t="s">
        <v>26</v>
      </c>
      <c r="E3292" s="5" t="str">
        <f>"9240080"</f>
        <v>9240080</v>
      </c>
      <c r="F3292" s="3" t="s">
        <v>10505</v>
      </c>
      <c r="G3292" s="5">
        <v>2661032590</v>
      </c>
      <c r="H3292" s="4" t="s">
        <v>10506</v>
      </c>
      <c r="I3292" s="4" t="s">
        <v>10433</v>
      </c>
      <c r="J3292" s="4" t="s">
        <v>10434</v>
      </c>
      <c r="K3292" s="4" t="s">
        <v>10507</v>
      </c>
      <c r="L3292" s="5">
        <v>49100</v>
      </c>
    </row>
    <row r="3293" spans="1:12" x14ac:dyDescent="0.25">
      <c r="A3293" s="3" t="s">
        <v>10327</v>
      </c>
      <c r="B3293" s="4" t="s">
        <v>10426</v>
      </c>
      <c r="C3293" s="4" t="s">
        <v>25</v>
      </c>
      <c r="D3293" s="4" t="s">
        <v>26</v>
      </c>
      <c r="E3293" s="5" t="str">
        <f>"9240166"</f>
        <v>9240166</v>
      </c>
      <c r="F3293" s="3" t="s">
        <v>10508</v>
      </c>
      <c r="G3293" s="5">
        <v>2661090494</v>
      </c>
      <c r="H3293" s="4" t="s">
        <v>10509</v>
      </c>
      <c r="I3293" s="4" t="s">
        <v>10433</v>
      </c>
      <c r="J3293" s="4" t="s">
        <v>10510</v>
      </c>
      <c r="K3293" s="4" t="s">
        <v>10511</v>
      </c>
      <c r="L3293" s="5">
        <v>49100</v>
      </c>
    </row>
    <row r="3294" spans="1:12" x14ac:dyDescent="0.25">
      <c r="A3294" s="3" t="s">
        <v>10327</v>
      </c>
      <c r="B3294" s="4" t="s">
        <v>10426</v>
      </c>
      <c r="C3294" s="4" t="s">
        <v>14</v>
      </c>
      <c r="D3294" s="4" t="s">
        <v>15</v>
      </c>
      <c r="E3294" s="5" t="str">
        <f>"9240018"</f>
        <v>9240018</v>
      </c>
      <c r="F3294" s="3" t="s">
        <v>10512</v>
      </c>
      <c r="G3294" s="5">
        <v>2661052250</v>
      </c>
      <c r="H3294" s="4" t="s">
        <v>10513</v>
      </c>
      <c r="I3294" s="4" t="s">
        <v>10433</v>
      </c>
      <c r="J3294" s="4" t="s">
        <v>10514</v>
      </c>
      <c r="K3294" s="4" t="s">
        <v>10514</v>
      </c>
      <c r="L3294" s="5">
        <v>49100</v>
      </c>
    </row>
    <row r="3295" spans="1:12" x14ac:dyDescent="0.25">
      <c r="A3295" s="3" t="s">
        <v>10327</v>
      </c>
      <c r="B3295" s="4" t="s">
        <v>10426</v>
      </c>
      <c r="C3295" s="4" t="s">
        <v>25</v>
      </c>
      <c r="D3295" s="4" t="s">
        <v>26</v>
      </c>
      <c r="E3295" s="5" t="str">
        <f>"9240264"</f>
        <v>9240264</v>
      </c>
      <c r="F3295" s="3" t="s">
        <v>10515</v>
      </c>
      <c r="G3295" s="5">
        <v>2661042000</v>
      </c>
      <c r="H3295" s="4" t="s">
        <v>10516</v>
      </c>
      <c r="I3295" s="4" t="s">
        <v>10433</v>
      </c>
      <c r="J3295" s="4" t="s">
        <v>10460</v>
      </c>
      <c r="K3295" s="4" t="s">
        <v>10460</v>
      </c>
      <c r="L3295" s="5">
        <v>49084</v>
      </c>
    </row>
    <row r="3296" spans="1:12" x14ac:dyDescent="0.25">
      <c r="A3296" s="3" t="s">
        <v>10327</v>
      </c>
      <c r="B3296" s="4" t="s">
        <v>10426</v>
      </c>
      <c r="C3296" s="4" t="s">
        <v>14</v>
      </c>
      <c r="D3296" s="4" t="s">
        <v>15</v>
      </c>
      <c r="E3296" s="5" t="str">
        <f>"9240009"</f>
        <v>9240009</v>
      </c>
      <c r="F3296" s="3" t="s">
        <v>10517</v>
      </c>
      <c r="G3296" s="5">
        <v>2661075144</v>
      </c>
      <c r="H3296" s="4" t="s">
        <v>10518</v>
      </c>
      <c r="I3296" s="4" t="s">
        <v>10482</v>
      </c>
      <c r="J3296" s="4" t="s">
        <v>10519</v>
      </c>
      <c r="K3296" s="4" t="s">
        <v>10519</v>
      </c>
      <c r="L3296" s="5">
        <v>49084</v>
      </c>
    </row>
    <row r="3297" spans="1:12" x14ac:dyDescent="0.25">
      <c r="A3297" s="3" t="s">
        <v>10327</v>
      </c>
      <c r="B3297" s="4" t="s">
        <v>10426</v>
      </c>
      <c r="C3297" s="4" t="s">
        <v>25</v>
      </c>
      <c r="D3297" s="4" t="s">
        <v>26</v>
      </c>
      <c r="E3297" s="5" t="str">
        <f>"9240259"</f>
        <v>9240259</v>
      </c>
      <c r="F3297" s="3" t="s">
        <v>10520</v>
      </c>
      <c r="G3297" s="5">
        <v>2663095887</v>
      </c>
      <c r="H3297" s="4" t="s">
        <v>10521</v>
      </c>
      <c r="I3297" s="4" t="s">
        <v>10475</v>
      </c>
      <c r="J3297" s="4" t="s">
        <v>10522</v>
      </c>
      <c r="K3297" s="4" t="s">
        <v>10522</v>
      </c>
      <c r="L3297" s="5">
        <v>49081</v>
      </c>
    </row>
    <row r="3298" spans="1:12" x14ac:dyDescent="0.25">
      <c r="A3298" s="3" t="s">
        <v>10327</v>
      </c>
      <c r="B3298" s="4" t="s">
        <v>10426</v>
      </c>
      <c r="C3298" s="4" t="s">
        <v>14</v>
      </c>
      <c r="D3298" s="4" t="s">
        <v>15</v>
      </c>
      <c r="E3298" s="5" t="str">
        <f>"9240195"</f>
        <v>9240195</v>
      </c>
      <c r="F3298" s="3" t="s">
        <v>10523</v>
      </c>
      <c r="G3298" s="5">
        <v>2661024073</v>
      </c>
      <c r="H3298" s="4" t="s">
        <v>10524</v>
      </c>
      <c r="I3298" s="4" t="s">
        <v>10433</v>
      </c>
      <c r="J3298" s="4" t="s">
        <v>10434</v>
      </c>
      <c r="K3298" s="4" t="s">
        <v>10525</v>
      </c>
      <c r="L3298" s="5">
        <v>49100</v>
      </c>
    </row>
    <row r="3299" spans="1:12" x14ac:dyDescent="0.25">
      <c r="A3299" s="3" t="s">
        <v>10327</v>
      </c>
      <c r="B3299" s="4" t="s">
        <v>10426</v>
      </c>
      <c r="C3299" s="4" t="s">
        <v>14</v>
      </c>
      <c r="D3299" s="4" t="s">
        <v>15</v>
      </c>
      <c r="E3299" s="5" t="str">
        <f>"9240075"</f>
        <v>9240075</v>
      </c>
      <c r="F3299" s="3" t="s">
        <v>10526</v>
      </c>
      <c r="G3299" s="5">
        <v>2662031372</v>
      </c>
      <c r="H3299" s="4" t="s">
        <v>10527</v>
      </c>
      <c r="I3299" s="4" t="s">
        <v>10429</v>
      </c>
      <c r="J3299" s="4" t="s">
        <v>10526</v>
      </c>
      <c r="K3299" s="4" t="s">
        <v>10528</v>
      </c>
      <c r="L3299" s="5">
        <v>49082</v>
      </c>
    </row>
    <row r="3300" spans="1:12" x14ac:dyDescent="0.25">
      <c r="A3300" s="3" t="s">
        <v>10327</v>
      </c>
      <c r="B3300" s="4" t="s">
        <v>10426</v>
      </c>
      <c r="C3300" s="4" t="s">
        <v>14</v>
      </c>
      <c r="D3300" s="4" t="s">
        <v>15</v>
      </c>
      <c r="E3300" s="5" t="str">
        <f>"9240042"</f>
        <v>9240042</v>
      </c>
      <c r="F3300" s="3" t="s">
        <v>10529</v>
      </c>
      <c r="G3300" s="5">
        <v>2661056298</v>
      </c>
      <c r="H3300" s="4" t="s">
        <v>10530</v>
      </c>
      <c r="I3300" s="4" t="s">
        <v>10433</v>
      </c>
      <c r="J3300" s="4" t="s">
        <v>10531</v>
      </c>
      <c r="K3300" s="4" t="s">
        <v>10532</v>
      </c>
      <c r="L3300" s="5">
        <v>49084</v>
      </c>
    </row>
    <row r="3301" spans="1:12" x14ac:dyDescent="0.25">
      <c r="A3301" s="3" t="s">
        <v>10327</v>
      </c>
      <c r="B3301" s="4" t="s">
        <v>10426</v>
      </c>
      <c r="C3301" s="4" t="s">
        <v>25</v>
      </c>
      <c r="D3301" s="4" t="s">
        <v>26</v>
      </c>
      <c r="E3301" s="5" t="str">
        <f>"9240204"</f>
        <v>9240204</v>
      </c>
      <c r="F3301" s="3" t="s">
        <v>10533</v>
      </c>
      <c r="G3301" s="5">
        <v>2661057373</v>
      </c>
      <c r="H3301" s="4" t="s">
        <v>10534</v>
      </c>
      <c r="I3301" s="4" t="s">
        <v>10433</v>
      </c>
      <c r="J3301" s="4" t="s">
        <v>10535</v>
      </c>
      <c r="K3301" s="4" t="s">
        <v>10532</v>
      </c>
      <c r="L3301" s="5">
        <v>49084</v>
      </c>
    </row>
    <row r="3302" spans="1:12" x14ac:dyDescent="0.25">
      <c r="A3302" s="3" t="s">
        <v>10327</v>
      </c>
      <c r="B3302" s="4" t="s">
        <v>10426</v>
      </c>
      <c r="C3302" s="4" t="s">
        <v>25</v>
      </c>
      <c r="D3302" s="4" t="s">
        <v>26</v>
      </c>
      <c r="E3302" s="5" t="str">
        <f>"9240238"</f>
        <v>9240238</v>
      </c>
      <c r="F3302" s="3" t="s">
        <v>10536</v>
      </c>
      <c r="G3302" s="5">
        <v>2661093713</v>
      </c>
      <c r="H3302" s="4" t="s">
        <v>10537</v>
      </c>
      <c r="I3302" s="4" t="s">
        <v>10433</v>
      </c>
      <c r="J3302" s="4" t="s">
        <v>10538</v>
      </c>
      <c r="K3302" s="4" t="s">
        <v>10538</v>
      </c>
      <c r="L3302" s="5">
        <v>49083</v>
      </c>
    </row>
    <row r="3303" spans="1:12" x14ac:dyDescent="0.25">
      <c r="A3303" s="3" t="s">
        <v>10327</v>
      </c>
      <c r="B3303" s="4" t="s">
        <v>10426</v>
      </c>
      <c r="C3303" s="4" t="s">
        <v>25</v>
      </c>
      <c r="D3303" s="4" t="s">
        <v>26</v>
      </c>
      <c r="E3303" s="5" t="str">
        <f>"9240245"</f>
        <v>9240245</v>
      </c>
      <c r="F3303" s="3" t="s">
        <v>10539</v>
      </c>
      <c r="G3303" s="5">
        <v>2661075842</v>
      </c>
      <c r="H3303" s="4" t="s">
        <v>10540</v>
      </c>
      <c r="I3303" s="4" t="s">
        <v>10482</v>
      </c>
      <c r="J3303" s="4" t="s">
        <v>10519</v>
      </c>
      <c r="K3303" s="4" t="s">
        <v>10519</v>
      </c>
      <c r="L3303" s="5">
        <v>49084</v>
      </c>
    </row>
    <row r="3304" spans="1:12" x14ac:dyDescent="0.25">
      <c r="A3304" s="3" t="s">
        <v>10327</v>
      </c>
      <c r="B3304" s="4" t="s">
        <v>10426</v>
      </c>
      <c r="C3304" s="4" t="s">
        <v>14</v>
      </c>
      <c r="D3304" s="4" t="s">
        <v>15</v>
      </c>
      <c r="E3304" s="5" t="str">
        <f>"9240089"</f>
        <v>9240089</v>
      </c>
      <c r="F3304" s="3" t="s">
        <v>10541</v>
      </c>
      <c r="G3304" s="5">
        <v>2661093643</v>
      </c>
      <c r="H3304" s="4" t="s">
        <v>10542</v>
      </c>
      <c r="I3304" s="4" t="s">
        <v>10433</v>
      </c>
      <c r="J3304" s="4" t="s">
        <v>10543</v>
      </c>
      <c r="K3304" s="4" t="s">
        <v>10544</v>
      </c>
      <c r="L3304" s="5">
        <v>49083</v>
      </c>
    </row>
    <row r="3305" spans="1:12" x14ac:dyDescent="0.25">
      <c r="A3305" s="3" t="s">
        <v>10327</v>
      </c>
      <c r="B3305" s="4" t="s">
        <v>10426</v>
      </c>
      <c r="C3305" s="4" t="s">
        <v>25</v>
      </c>
      <c r="D3305" s="4" t="s">
        <v>26</v>
      </c>
      <c r="E3305" s="5" t="str">
        <f>"9240247"</f>
        <v>9240247</v>
      </c>
      <c r="F3305" s="3" t="s">
        <v>10545</v>
      </c>
      <c r="G3305" s="5">
        <v>2663063290</v>
      </c>
      <c r="H3305" s="4" t="s">
        <v>10546</v>
      </c>
      <c r="I3305" s="4" t="s">
        <v>10475</v>
      </c>
      <c r="J3305" s="4" t="s">
        <v>10547</v>
      </c>
      <c r="K3305" s="4" t="s">
        <v>10547</v>
      </c>
      <c r="L3305" s="5">
        <v>49081</v>
      </c>
    </row>
    <row r="3306" spans="1:12" x14ac:dyDescent="0.25">
      <c r="A3306" s="3" t="s">
        <v>10327</v>
      </c>
      <c r="B3306" s="4" t="s">
        <v>10426</v>
      </c>
      <c r="C3306" s="4" t="s">
        <v>14</v>
      </c>
      <c r="D3306" s="4" t="s">
        <v>15</v>
      </c>
      <c r="E3306" s="5" t="str">
        <f>"9240082"</f>
        <v>9240082</v>
      </c>
      <c r="F3306" s="3" t="s">
        <v>10548</v>
      </c>
      <c r="G3306" s="5">
        <v>2661039987</v>
      </c>
      <c r="H3306" s="4" t="s">
        <v>10549</v>
      </c>
      <c r="I3306" s="4" t="s">
        <v>10433</v>
      </c>
      <c r="J3306" s="4" t="s">
        <v>10434</v>
      </c>
      <c r="K3306" s="4" t="s">
        <v>10550</v>
      </c>
      <c r="L3306" s="5">
        <v>49100</v>
      </c>
    </row>
    <row r="3307" spans="1:12" x14ac:dyDescent="0.25">
      <c r="A3307" s="3" t="s">
        <v>10327</v>
      </c>
      <c r="B3307" s="4" t="s">
        <v>10426</v>
      </c>
      <c r="C3307" s="4" t="s">
        <v>14</v>
      </c>
      <c r="D3307" s="4" t="s">
        <v>15</v>
      </c>
      <c r="E3307" s="5" t="str">
        <f>"9240243"</f>
        <v>9240243</v>
      </c>
      <c r="F3307" s="3" t="s">
        <v>10551</v>
      </c>
      <c r="G3307" s="5">
        <v>2661022940</v>
      </c>
      <c r="H3307" s="4" t="s">
        <v>10552</v>
      </c>
      <c r="I3307" s="4" t="s">
        <v>10433</v>
      </c>
      <c r="J3307" s="4" t="s">
        <v>10434</v>
      </c>
      <c r="K3307" s="4" t="s">
        <v>10553</v>
      </c>
      <c r="L3307" s="5">
        <v>49100</v>
      </c>
    </row>
    <row r="3308" spans="1:12" x14ac:dyDescent="0.25">
      <c r="A3308" s="3" t="s">
        <v>10327</v>
      </c>
      <c r="B3308" s="4" t="s">
        <v>10426</v>
      </c>
      <c r="C3308" s="4" t="s">
        <v>14</v>
      </c>
      <c r="D3308" s="4" t="s">
        <v>15</v>
      </c>
      <c r="E3308" s="5" t="str">
        <f>"9240006"</f>
        <v>9240006</v>
      </c>
      <c r="F3308" s="3" t="s">
        <v>10554</v>
      </c>
      <c r="G3308" s="5">
        <v>2661031764</v>
      </c>
      <c r="H3308" s="4" t="s">
        <v>10555</v>
      </c>
      <c r="I3308" s="4" t="s">
        <v>10433</v>
      </c>
      <c r="J3308" s="4" t="s">
        <v>10445</v>
      </c>
      <c r="K3308" s="4" t="s">
        <v>10556</v>
      </c>
      <c r="L3308" s="5">
        <v>49100</v>
      </c>
    </row>
    <row r="3309" spans="1:12" x14ac:dyDescent="0.25">
      <c r="A3309" s="3" t="s">
        <v>10327</v>
      </c>
      <c r="B3309" s="4" t="s">
        <v>10426</v>
      </c>
      <c r="C3309" s="4" t="s">
        <v>25</v>
      </c>
      <c r="D3309" s="4" t="s">
        <v>821</v>
      </c>
      <c r="E3309" s="5" t="str">
        <f>"9240251"</f>
        <v>9240251</v>
      </c>
      <c r="F3309" s="3" t="s">
        <v>10557</v>
      </c>
      <c r="G3309" s="5">
        <v>2661048340</v>
      </c>
      <c r="H3309" s="4" t="s">
        <v>10558</v>
      </c>
      <c r="I3309" s="4" t="s">
        <v>10433</v>
      </c>
      <c r="J3309" s="4" t="s">
        <v>10434</v>
      </c>
      <c r="K3309" s="4" t="s">
        <v>10553</v>
      </c>
      <c r="L3309" s="5">
        <v>49100</v>
      </c>
    </row>
    <row r="3310" spans="1:12" x14ac:dyDescent="0.25">
      <c r="A3310" s="3" t="s">
        <v>10327</v>
      </c>
      <c r="B3310" s="4" t="s">
        <v>10426</v>
      </c>
      <c r="C3310" s="4" t="s">
        <v>25</v>
      </c>
      <c r="D3310" s="4" t="s">
        <v>26</v>
      </c>
      <c r="E3310" s="5" t="str">
        <f>"9240222"</f>
        <v>9240222</v>
      </c>
      <c r="F3310" s="3" t="s">
        <v>10559</v>
      </c>
      <c r="G3310" s="5">
        <v>2663360660</v>
      </c>
      <c r="H3310" s="4" t="s">
        <v>10560</v>
      </c>
      <c r="I3310" s="4" t="s">
        <v>10475</v>
      </c>
      <c r="J3310" s="4" t="s">
        <v>10561</v>
      </c>
      <c r="K3310" s="4" t="s">
        <v>10561</v>
      </c>
      <c r="L3310" s="5">
        <v>49081</v>
      </c>
    </row>
    <row r="3311" spans="1:12" x14ac:dyDescent="0.25">
      <c r="A3311" s="3" t="s">
        <v>10327</v>
      </c>
      <c r="B3311" s="4" t="s">
        <v>10426</v>
      </c>
      <c r="C3311" s="4" t="s">
        <v>25</v>
      </c>
      <c r="D3311" s="4" t="s">
        <v>26</v>
      </c>
      <c r="E3311" s="5" t="str">
        <f>"9240192"</f>
        <v>9240192</v>
      </c>
      <c r="F3311" s="3" t="s">
        <v>10562</v>
      </c>
      <c r="G3311" s="5">
        <v>2663071030</v>
      </c>
      <c r="H3311" s="4" t="s">
        <v>10563</v>
      </c>
      <c r="I3311" s="4" t="s">
        <v>10475</v>
      </c>
      <c r="J3311" s="4" t="s">
        <v>10564</v>
      </c>
      <c r="K3311" s="4" t="s">
        <v>10564</v>
      </c>
      <c r="L3311" s="5">
        <v>49083</v>
      </c>
    </row>
    <row r="3312" spans="1:12" x14ac:dyDescent="0.25">
      <c r="A3312" s="3" t="s">
        <v>10327</v>
      </c>
      <c r="B3312" s="4" t="s">
        <v>10426</v>
      </c>
      <c r="C3312" s="4" t="s">
        <v>25</v>
      </c>
      <c r="D3312" s="4" t="s">
        <v>26</v>
      </c>
      <c r="E3312" s="5" t="str">
        <f>"9240165"</f>
        <v>9240165</v>
      </c>
      <c r="F3312" s="3" t="s">
        <v>10565</v>
      </c>
      <c r="G3312" s="5">
        <v>2661046111</v>
      </c>
      <c r="H3312" s="4" t="s">
        <v>10566</v>
      </c>
      <c r="I3312" s="4" t="s">
        <v>10433</v>
      </c>
      <c r="J3312" s="4" t="s">
        <v>8861</v>
      </c>
      <c r="K3312" s="4" t="s">
        <v>10550</v>
      </c>
      <c r="L3312" s="5">
        <v>49100</v>
      </c>
    </row>
    <row r="3313" spans="1:12" x14ac:dyDescent="0.25">
      <c r="A3313" s="3" t="s">
        <v>10327</v>
      </c>
      <c r="B3313" s="4" t="s">
        <v>10426</v>
      </c>
      <c r="C3313" s="4" t="s">
        <v>25</v>
      </c>
      <c r="D3313" s="4" t="s">
        <v>26</v>
      </c>
      <c r="E3313" s="5" t="str">
        <f>"9240005"</f>
        <v>9240005</v>
      </c>
      <c r="F3313" s="3" t="s">
        <v>10567</v>
      </c>
      <c r="G3313" s="5">
        <v>2661033984</v>
      </c>
      <c r="H3313" s="4" t="s">
        <v>10568</v>
      </c>
      <c r="I3313" s="4" t="s">
        <v>10433</v>
      </c>
      <c r="J3313" s="4" t="s">
        <v>10434</v>
      </c>
      <c r="K3313" s="4" t="s">
        <v>10569</v>
      </c>
      <c r="L3313" s="5">
        <v>49100</v>
      </c>
    </row>
    <row r="3314" spans="1:12" x14ac:dyDescent="0.25">
      <c r="A3314" s="3" t="s">
        <v>10327</v>
      </c>
      <c r="B3314" s="4" t="s">
        <v>10426</v>
      </c>
      <c r="C3314" s="4" t="s">
        <v>14</v>
      </c>
      <c r="D3314" s="4" t="s">
        <v>15</v>
      </c>
      <c r="E3314" s="5" t="str">
        <f>"9240085"</f>
        <v>9240085</v>
      </c>
      <c r="F3314" s="3" t="s">
        <v>10570</v>
      </c>
      <c r="G3314" s="5">
        <v>2661091284</v>
      </c>
      <c r="H3314" s="4" t="s">
        <v>10571</v>
      </c>
      <c r="I3314" s="4" t="s">
        <v>10433</v>
      </c>
      <c r="J3314" s="4" t="s">
        <v>10445</v>
      </c>
      <c r="K3314" s="4" t="s">
        <v>10572</v>
      </c>
      <c r="L3314" s="5">
        <v>49100</v>
      </c>
    </row>
    <row r="3315" spans="1:12" x14ac:dyDescent="0.25">
      <c r="A3315" s="3" t="s">
        <v>10327</v>
      </c>
      <c r="B3315" s="4" t="s">
        <v>10426</v>
      </c>
      <c r="C3315" s="4" t="s">
        <v>14</v>
      </c>
      <c r="D3315" s="4" t="s">
        <v>15</v>
      </c>
      <c r="E3315" s="5" t="str">
        <f>"9240121"</f>
        <v>9240121</v>
      </c>
      <c r="F3315" s="3" t="s">
        <v>10573</v>
      </c>
      <c r="G3315" s="5">
        <v>2663081251</v>
      </c>
      <c r="H3315" s="4" t="s">
        <v>10574</v>
      </c>
      <c r="I3315" s="4" t="s">
        <v>10475</v>
      </c>
      <c r="J3315" s="4" t="s">
        <v>10575</v>
      </c>
      <c r="K3315" s="4" t="s">
        <v>10575</v>
      </c>
      <c r="L3315" s="5">
        <v>49081</v>
      </c>
    </row>
    <row r="3316" spans="1:12" x14ac:dyDescent="0.25">
      <c r="A3316" s="3" t="s">
        <v>10327</v>
      </c>
      <c r="B3316" s="4" t="s">
        <v>10426</v>
      </c>
      <c r="C3316" s="4" t="s">
        <v>14</v>
      </c>
      <c r="D3316" s="4" t="s">
        <v>15</v>
      </c>
      <c r="E3316" s="5" t="str">
        <f>"9240057"</f>
        <v>9240057</v>
      </c>
      <c r="F3316" s="3" t="s">
        <v>10576</v>
      </c>
      <c r="G3316" s="5">
        <v>2662022183</v>
      </c>
      <c r="H3316" s="4" t="s">
        <v>10577</v>
      </c>
      <c r="I3316" s="4" t="s">
        <v>10482</v>
      </c>
      <c r="J3316" s="4" t="s">
        <v>10578</v>
      </c>
      <c r="K3316" s="4" t="s">
        <v>10579</v>
      </c>
      <c r="L3316" s="5">
        <v>49080</v>
      </c>
    </row>
    <row r="3317" spans="1:12" x14ac:dyDescent="0.25">
      <c r="A3317" s="3" t="s">
        <v>10327</v>
      </c>
      <c r="B3317" s="4" t="s">
        <v>10426</v>
      </c>
      <c r="C3317" s="4" t="s">
        <v>14</v>
      </c>
      <c r="D3317" s="4" t="s">
        <v>15</v>
      </c>
      <c r="E3317" s="5" t="str">
        <f>"9240177"</f>
        <v>9240177</v>
      </c>
      <c r="F3317" s="3" t="s">
        <v>10580</v>
      </c>
      <c r="G3317" s="5">
        <v>2662051644</v>
      </c>
      <c r="H3317" s="4" t="s">
        <v>10581</v>
      </c>
      <c r="I3317" s="4" t="s">
        <v>10482</v>
      </c>
      <c r="J3317" s="4" t="s">
        <v>10582</v>
      </c>
      <c r="K3317" s="4" t="s">
        <v>10582</v>
      </c>
      <c r="L3317" s="5">
        <v>49080</v>
      </c>
    </row>
    <row r="3318" spans="1:12" x14ac:dyDescent="0.25">
      <c r="A3318" s="3" t="s">
        <v>10327</v>
      </c>
      <c r="B3318" s="4" t="s">
        <v>10426</v>
      </c>
      <c r="C3318" s="4" t="s">
        <v>14</v>
      </c>
      <c r="D3318" s="4" t="s">
        <v>15</v>
      </c>
      <c r="E3318" s="5" t="str">
        <f>"9240173"</f>
        <v>9240173</v>
      </c>
      <c r="F3318" s="3" t="s">
        <v>10583</v>
      </c>
      <c r="G3318" s="5">
        <v>2661075778</v>
      </c>
      <c r="H3318" s="4" t="s">
        <v>10584</v>
      </c>
      <c r="I3318" s="4" t="s">
        <v>10482</v>
      </c>
      <c r="J3318" s="4" t="s">
        <v>10585</v>
      </c>
      <c r="K3318" s="4" t="s">
        <v>10586</v>
      </c>
      <c r="L3318" s="5">
        <v>49080</v>
      </c>
    </row>
    <row r="3319" spans="1:12" x14ac:dyDescent="0.25">
      <c r="A3319" s="3" t="s">
        <v>10327</v>
      </c>
      <c r="B3319" s="4" t="s">
        <v>10426</v>
      </c>
      <c r="C3319" s="4" t="s">
        <v>25</v>
      </c>
      <c r="D3319" s="4" t="s">
        <v>26</v>
      </c>
      <c r="E3319" s="5" t="str">
        <f>"9240161"</f>
        <v>9240161</v>
      </c>
      <c r="F3319" s="3" t="s">
        <v>10587</v>
      </c>
      <c r="G3319" s="5">
        <v>2662022016</v>
      </c>
      <c r="H3319" s="4" t="s">
        <v>10588</v>
      </c>
      <c r="I3319" s="4" t="s">
        <v>10482</v>
      </c>
      <c r="J3319" s="4" t="s">
        <v>10483</v>
      </c>
      <c r="K3319" s="4" t="s">
        <v>10502</v>
      </c>
      <c r="L3319" s="5">
        <v>49080</v>
      </c>
    </row>
    <row r="3320" spans="1:12" x14ac:dyDescent="0.25">
      <c r="A3320" s="3" t="s">
        <v>10327</v>
      </c>
      <c r="B3320" s="4" t="s">
        <v>10426</v>
      </c>
      <c r="C3320" s="4" t="s">
        <v>14</v>
      </c>
      <c r="D3320" s="4" t="s">
        <v>15</v>
      </c>
      <c r="E3320" s="5" t="str">
        <f>"9240043"</f>
        <v>9240043</v>
      </c>
      <c r="F3320" s="3" t="s">
        <v>10589</v>
      </c>
      <c r="G3320" s="5">
        <v>2662022534</v>
      </c>
      <c r="H3320" s="4" t="s">
        <v>10590</v>
      </c>
      <c r="I3320" s="4" t="s">
        <v>10482</v>
      </c>
      <c r="J3320" s="4" t="s">
        <v>10591</v>
      </c>
      <c r="K3320" s="4" t="s">
        <v>10592</v>
      </c>
      <c r="L3320" s="5">
        <v>49080</v>
      </c>
    </row>
    <row r="3321" spans="1:12" x14ac:dyDescent="0.25">
      <c r="A3321" s="3" t="s">
        <v>10327</v>
      </c>
      <c r="B3321" s="4" t="s">
        <v>10426</v>
      </c>
      <c r="C3321" s="4" t="s">
        <v>14</v>
      </c>
      <c r="D3321" s="4" t="s">
        <v>15</v>
      </c>
      <c r="E3321" s="5" t="str">
        <f>"9240124"</f>
        <v>9240124</v>
      </c>
      <c r="F3321" s="3" t="s">
        <v>10593</v>
      </c>
      <c r="G3321" s="5">
        <v>2661093468</v>
      </c>
      <c r="H3321" s="4" t="s">
        <v>10594</v>
      </c>
      <c r="I3321" s="4" t="s">
        <v>10433</v>
      </c>
      <c r="J3321" s="4" t="s">
        <v>10595</v>
      </c>
      <c r="K3321" s="4" t="s">
        <v>10595</v>
      </c>
      <c r="L3321" s="5">
        <v>49083</v>
      </c>
    </row>
    <row r="3322" spans="1:12" x14ac:dyDescent="0.25">
      <c r="A3322" s="3" t="s">
        <v>10327</v>
      </c>
      <c r="B3322" s="4" t="s">
        <v>10426</v>
      </c>
      <c r="C3322" s="4" t="s">
        <v>14</v>
      </c>
      <c r="D3322" s="4" t="s">
        <v>15</v>
      </c>
      <c r="E3322" s="5" t="str">
        <f>"9240094"</f>
        <v>9240094</v>
      </c>
      <c r="F3322" s="3" t="s">
        <v>10596</v>
      </c>
      <c r="G3322" s="5">
        <v>2663071492</v>
      </c>
      <c r="H3322" s="4" t="s">
        <v>10597</v>
      </c>
      <c r="I3322" s="4" t="s">
        <v>10475</v>
      </c>
      <c r="J3322" s="4" t="s">
        <v>10598</v>
      </c>
      <c r="K3322" s="4" t="s">
        <v>10599</v>
      </c>
      <c r="L3322" s="5">
        <v>49083</v>
      </c>
    </row>
    <row r="3323" spans="1:12" x14ac:dyDescent="0.25">
      <c r="A3323" s="3" t="s">
        <v>10327</v>
      </c>
      <c r="B3323" s="4" t="s">
        <v>10426</v>
      </c>
      <c r="C3323" s="4" t="s">
        <v>14</v>
      </c>
      <c r="D3323" s="4" t="s">
        <v>15</v>
      </c>
      <c r="E3323" s="5" t="str">
        <f>"9240102"</f>
        <v>9240102</v>
      </c>
      <c r="F3323" s="3" t="s">
        <v>10600</v>
      </c>
      <c r="G3323" s="5">
        <v>2663095450</v>
      </c>
      <c r="H3323" s="4" t="s">
        <v>10601</v>
      </c>
      <c r="I3323" s="4" t="s">
        <v>10475</v>
      </c>
      <c r="J3323" s="4" t="s">
        <v>10602</v>
      </c>
      <c r="K3323" s="4" t="s">
        <v>10602</v>
      </c>
      <c r="L3323" s="5">
        <v>49081</v>
      </c>
    </row>
    <row r="3324" spans="1:12" x14ac:dyDescent="0.25">
      <c r="A3324" s="3" t="s">
        <v>10327</v>
      </c>
      <c r="B3324" s="4" t="s">
        <v>10426</v>
      </c>
      <c r="C3324" s="4" t="s">
        <v>14</v>
      </c>
      <c r="D3324" s="4" t="s">
        <v>15</v>
      </c>
      <c r="E3324" s="5" t="str">
        <f>"9240091"</f>
        <v>9240091</v>
      </c>
      <c r="F3324" s="3" t="s">
        <v>10603</v>
      </c>
      <c r="G3324" s="5">
        <v>2663063041</v>
      </c>
      <c r="H3324" s="4" t="s">
        <v>10604</v>
      </c>
      <c r="I3324" s="4" t="s">
        <v>10475</v>
      </c>
      <c r="J3324" s="4" t="s">
        <v>10547</v>
      </c>
      <c r="K3324" s="4" t="s">
        <v>10547</v>
      </c>
      <c r="L3324" s="5">
        <v>49081</v>
      </c>
    </row>
    <row r="3325" spans="1:12" x14ac:dyDescent="0.25">
      <c r="A3325" s="3" t="s">
        <v>10327</v>
      </c>
      <c r="B3325" s="4" t="s">
        <v>10426</v>
      </c>
      <c r="C3325" s="4" t="s">
        <v>14</v>
      </c>
      <c r="D3325" s="4" t="s">
        <v>15</v>
      </c>
      <c r="E3325" s="5" t="str">
        <f>"9240105"</f>
        <v>9240105</v>
      </c>
      <c r="F3325" s="3" t="s">
        <v>10605</v>
      </c>
      <c r="G3325" s="5">
        <v>2663051223</v>
      </c>
      <c r="H3325" s="4" t="s">
        <v>10606</v>
      </c>
      <c r="I3325" s="4" t="s">
        <v>10475</v>
      </c>
      <c r="J3325" s="4" t="s">
        <v>10434</v>
      </c>
      <c r="K3325" s="4" t="s">
        <v>10607</v>
      </c>
      <c r="L3325" s="5">
        <v>49081</v>
      </c>
    </row>
    <row r="3326" spans="1:12" x14ac:dyDescent="0.25">
      <c r="A3326" s="3" t="s">
        <v>10327</v>
      </c>
      <c r="B3326" s="4" t="s">
        <v>10426</v>
      </c>
      <c r="C3326" s="4" t="s">
        <v>14</v>
      </c>
      <c r="D3326" s="4" t="s">
        <v>15</v>
      </c>
      <c r="E3326" s="5" t="str">
        <f>"9240028"</f>
        <v>9240028</v>
      </c>
      <c r="F3326" s="3" t="s">
        <v>10608</v>
      </c>
      <c r="G3326" s="5">
        <v>2661056241</v>
      </c>
      <c r="H3326" s="4" t="s">
        <v>10609</v>
      </c>
      <c r="I3326" s="4" t="s">
        <v>10433</v>
      </c>
      <c r="J3326" s="4" t="s">
        <v>10610</v>
      </c>
      <c r="K3326" s="4" t="s">
        <v>10610</v>
      </c>
      <c r="L3326" s="5">
        <v>49084</v>
      </c>
    </row>
    <row r="3327" spans="1:12" x14ac:dyDescent="0.25">
      <c r="A3327" s="3" t="s">
        <v>10327</v>
      </c>
      <c r="B3327" s="4" t="s">
        <v>10426</v>
      </c>
      <c r="C3327" s="4" t="s">
        <v>14</v>
      </c>
      <c r="D3327" s="4" t="s">
        <v>15</v>
      </c>
      <c r="E3327" s="5" t="str">
        <f>"9240140"</f>
        <v>9240140</v>
      </c>
      <c r="F3327" s="3" t="s">
        <v>10611</v>
      </c>
      <c r="G3327" s="5">
        <v>2663094485</v>
      </c>
      <c r="H3327" s="4" t="s">
        <v>10612</v>
      </c>
      <c r="I3327" s="4" t="s">
        <v>10475</v>
      </c>
      <c r="J3327" s="4" t="s">
        <v>10613</v>
      </c>
      <c r="K3327" s="4" t="s">
        <v>10614</v>
      </c>
      <c r="L3327" s="5">
        <v>49081</v>
      </c>
    </row>
    <row r="3328" spans="1:12" x14ac:dyDescent="0.25">
      <c r="A3328" s="3" t="s">
        <v>10327</v>
      </c>
      <c r="B3328" s="4" t="s">
        <v>10426</v>
      </c>
      <c r="C3328" s="4" t="s">
        <v>14</v>
      </c>
      <c r="D3328" s="4" t="s">
        <v>15</v>
      </c>
      <c r="E3328" s="5" t="str">
        <f>"9240008"</f>
        <v>9240008</v>
      </c>
      <c r="F3328" s="3" t="s">
        <v>10615</v>
      </c>
      <c r="G3328" s="5">
        <v>2661052442</v>
      </c>
      <c r="H3328" s="4" t="s">
        <v>10616</v>
      </c>
      <c r="I3328" s="4" t="s">
        <v>10433</v>
      </c>
      <c r="J3328" s="4" t="s">
        <v>8913</v>
      </c>
      <c r="K3328" s="4" t="s">
        <v>8913</v>
      </c>
      <c r="L3328" s="5">
        <v>49100</v>
      </c>
    </row>
    <row r="3329" spans="1:12" x14ac:dyDescent="0.25">
      <c r="A3329" s="3" t="s">
        <v>10327</v>
      </c>
      <c r="B3329" s="4" t="s">
        <v>10426</v>
      </c>
      <c r="C3329" s="4" t="s">
        <v>14</v>
      </c>
      <c r="D3329" s="4" t="s">
        <v>15</v>
      </c>
      <c r="E3329" s="5" t="str">
        <f>"9240002"</f>
        <v>9240002</v>
      </c>
      <c r="F3329" s="3" t="s">
        <v>10617</v>
      </c>
      <c r="G3329" s="5">
        <v>2661033781</v>
      </c>
      <c r="H3329" s="4" t="s">
        <v>10618</v>
      </c>
      <c r="I3329" s="4" t="s">
        <v>10433</v>
      </c>
      <c r="J3329" s="4" t="s">
        <v>10434</v>
      </c>
      <c r="K3329" s="4" t="s">
        <v>10619</v>
      </c>
      <c r="L3329" s="5">
        <v>49100</v>
      </c>
    </row>
    <row r="3330" spans="1:12" x14ac:dyDescent="0.25">
      <c r="A3330" s="3" t="s">
        <v>10327</v>
      </c>
      <c r="B3330" s="4" t="s">
        <v>10426</v>
      </c>
      <c r="C3330" s="4" t="s">
        <v>14</v>
      </c>
      <c r="D3330" s="4" t="s">
        <v>15</v>
      </c>
      <c r="E3330" s="5" t="str">
        <f>"9240083"</f>
        <v>9240083</v>
      </c>
      <c r="F3330" s="3" t="s">
        <v>10620</v>
      </c>
      <c r="G3330" s="5">
        <v>2661031193</v>
      </c>
      <c r="H3330" s="4" t="s">
        <v>10621</v>
      </c>
      <c r="I3330" s="4" t="s">
        <v>10433</v>
      </c>
      <c r="J3330" s="4" t="s">
        <v>10434</v>
      </c>
      <c r="K3330" s="4" t="s">
        <v>10622</v>
      </c>
      <c r="L3330" s="5">
        <v>49100</v>
      </c>
    </row>
    <row r="3331" spans="1:12" x14ac:dyDescent="0.25">
      <c r="A3331" s="3" t="s">
        <v>10327</v>
      </c>
      <c r="B3331" s="4" t="s">
        <v>10426</v>
      </c>
      <c r="C3331" s="4" t="s">
        <v>14</v>
      </c>
      <c r="D3331" s="4" t="s">
        <v>15</v>
      </c>
      <c r="E3331" s="5" t="str">
        <f>"9240229"</f>
        <v>9240229</v>
      </c>
      <c r="F3331" s="3" t="s">
        <v>10623</v>
      </c>
      <c r="G3331" s="5">
        <v>2661030411</v>
      </c>
      <c r="H3331" s="4" t="s">
        <v>10624</v>
      </c>
      <c r="I3331" s="4" t="s">
        <v>10433</v>
      </c>
      <c r="J3331" s="4" t="s">
        <v>10434</v>
      </c>
      <c r="K3331" s="4" t="s">
        <v>10625</v>
      </c>
      <c r="L3331" s="5">
        <v>49100</v>
      </c>
    </row>
    <row r="3332" spans="1:12" x14ac:dyDescent="0.25">
      <c r="A3332" s="3" t="s">
        <v>10327</v>
      </c>
      <c r="B3332" s="4" t="s">
        <v>10426</v>
      </c>
      <c r="C3332" s="4" t="s">
        <v>25</v>
      </c>
      <c r="D3332" s="4" t="s">
        <v>26</v>
      </c>
      <c r="E3332" s="5" t="str">
        <f>"9240207"</f>
        <v>9240207</v>
      </c>
      <c r="F3332" s="3" t="s">
        <v>10626</v>
      </c>
      <c r="G3332" s="5">
        <v>2661035125</v>
      </c>
      <c r="H3332" s="4" t="s">
        <v>10627</v>
      </c>
      <c r="I3332" s="4" t="s">
        <v>10433</v>
      </c>
      <c r="J3332" s="4" t="s">
        <v>10434</v>
      </c>
      <c r="K3332" s="4" t="s">
        <v>10628</v>
      </c>
      <c r="L3332" s="5">
        <v>49132</v>
      </c>
    </row>
    <row r="3333" spans="1:12" x14ac:dyDescent="0.25">
      <c r="A3333" s="3" t="s">
        <v>10327</v>
      </c>
      <c r="B3333" s="4" t="s">
        <v>10426</v>
      </c>
      <c r="C3333" s="4" t="s">
        <v>25</v>
      </c>
      <c r="D3333" s="4" t="s">
        <v>26</v>
      </c>
      <c r="E3333" s="5" t="str">
        <f>"9240003"</f>
        <v>9240003</v>
      </c>
      <c r="F3333" s="3" t="s">
        <v>10629</v>
      </c>
      <c r="G3333" s="5">
        <v>2661036967</v>
      </c>
      <c r="H3333" s="4" t="s">
        <v>10630</v>
      </c>
      <c r="I3333" s="4" t="s">
        <v>10433</v>
      </c>
      <c r="J3333" s="4" t="s">
        <v>10434</v>
      </c>
      <c r="K3333" s="4" t="s">
        <v>10631</v>
      </c>
      <c r="L3333" s="5">
        <v>49100</v>
      </c>
    </row>
    <row r="3334" spans="1:12" x14ac:dyDescent="0.25">
      <c r="A3334" s="3" t="s">
        <v>10327</v>
      </c>
      <c r="B3334" s="4" t="s">
        <v>10426</v>
      </c>
      <c r="C3334" s="4" t="s">
        <v>25</v>
      </c>
      <c r="D3334" s="4" t="s">
        <v>26</v>
      </c>
      <c r="E3334" s="5" t="str">
        <f>"9240226"</f>
        <v>9240226</v>
      </c>
      <c r="F3334" s="3" t="s">
        <v>10632</v>
      </c>
      <c r="G3334" s="5">
        <v>2661046211</v>
      </c>
      <c r="H3334" s="4" t="s">
        <v>10633</v>
      </c>
      <c r="I3334" s="4" t="s">
        <v>10433</v>
      </c>
      <c r="J3334" s="4" t="s">
        <v>10434</v>
      </c>
      <c r="K3334" s="4" t="s">
        <v>10634</v>
      </c>
      <c r="L3334" s="5">
        <v>49100</v>
      </c>
    </row>
    <row r="3335" spans="1:12" x14ac:dyDescent="0.25">
      <c r="A3335" s="3" t="s">
        <v>10327</v>
      </c>
      <c r="B3335" s="4" t="s">
        <v>10426</v>
      </c>
      <c r="C3335" s="4" t="s">
        <v>25</v>
      </c>
      <c r="D3335" s="4" t="s">
        <v>26</v>
      </c>
      <c r="E3335" s="5" t="str">
        <f>"9240189"</f>
        <v>9240189</v>
      </c>
      <c r="F3335" s="3" t="s">
        <v>10635</v>
      </c>
      <c r="G3335" s="5">
        <v>2661052692</v>
      </c>
      <c r="H3335" s="4" t="s">
        <v>10636</v>
      </c>
      <c r="I3335" s="4" t="s">
        <v>10433</v>
      </c>
      <c r="J3335" s="4" t="s">
        <v>10514</v>
      </c>
      <c r="K3335" s="4" t="s">
        <v>10514</v>
      </c>
      <c r="L3335" s="5">
        <v>49100</v>
      </c>
    </row>
    <row r="3336" spans="1:12" ht="30" x14ac:dyDescent="0.25">
      <c r="A3336" s="3" t="s">
        <v>10327</v>
      </c>
      <c r="B3336" s="4" t="s">
        <v>10426</v>
      </c>
      <c r="C3336" s="4" t="s">
        <v>14</v>
      </c>
      <c r="D3336" s="4" t="s">
        <v>830</v>
      </c>
      <c r="E3336" s="5" t="str">
        <f>"9240079"</f>
        <v>9240079</v>
      </c>
      <c r="F3336" s="3" t="s">
        <v>10637</v>
      </c>
      <c r="G3336" s="5">
        <v>2661360249</v>
      </c>
      <c r="H3336" s="4" t="s">
        <v>10638</v>
      </c>
      <c r="I3336" s="4" t="s">
        <v>10433</v>
      </c>
      <c r="J3336" s="4" t="s">
        <v>10434</v>
      </c>
      <c r="K3336" s="4" t="s">
        <v>10569</v>
      </c>
      <c r="L3336" s="5">
        <v>49131</v>
      </c>
    </row>
    <row r="3337" spans="1:12" x14ac:dyDescent="0.25">
      <c r="A3337" s="3" t="s">
        <v>10327</v>
      </c>
      <c r="B3337" s="4" t="s">
        <v>10426</v>
      </c>
      <c r="C3337" s="4" t="s">
        <v>25</v>
      </c>
      <c r="D3337" s="4" t="s">
        <v>26</v>
      </c>
      <c r="E3337" s="5" t="str">
        <f>"9240167"</f>
        <v>9240167</v>
      </c>
      <c r="F3337" s="3" t="s">
        <v>10639</v>
      </c>
      <c r="G3337" s="5">
        <v>2661097082</v>
      </c>
      <c r="H3337" s="4" t="s">
        <v>10640</v>
      </c>
      <c r="I3337" s="4" t="s">
        <v>10433</v>
      </c>
      <c r="J3337" s="4" t="s">
        <v>10595</v>
      </c>
      <c r="K3337" s="4" t="s">
        <v>10595</v>
      </c>
      <c r="L3337" s="5">
        <v>49083</v>
      </c>
    </row>
    <row r="3338" spans="1:12" x14ac:dyDescent="0.25">
      <c r="A3338" s="3" t="s">
        <v>10327</v>
      </c>
      <c r="B3338" s="4" t="s">
        <v>10426</v>
      </c>
      <c r="C3338" s="4" t="s">
        <v>25</v>
      </c>
      <c r="D3338" s="4" t="s">
        <v>26</v>
      </c>
      <c r="E3338" s="5" t="str">
        <f>"9240163"</f>
        <v>9240163</v>
      </c>
      <c r="F3338" s="3" t="s">
        <v>10641</v>
      </c>
      <c r="G3338" s="5">
        <v>2661048958</v>
      </c>
      <c r="H3338" s="4" t="s">
        <v>10642</v>
      </c>
      <c r="I3338" s="4" t="s">
        <v>10433</v>
      </c>
      <c r="J3338" s="4" t="s">
        <v>10643</v>
      </c>
      <c r="K3338" s="4" t="s">
        <v>10091</v>
      </c>
      <c r="L3338" s="5">
        <v>49100</v>
      </c>
    </row>
    <row r="3339" spans="1:12" x14ac:dyDescent="0.25">
      <c r="A3339" s="3" t="s">
        <v>10327</v>
      </c>
      <c r="B3339" s="4" t="s">
        <v>10644</v>
      </c>
      <c r="C3339" s="4" t="s">
        <v>25</v>
      </c>
      <c r="D3339" s="4" t="s">
        <v>26</v>
      </c>
      <c r="E3339" s="5" t="str">
        <f>"9250091"</f>
        <v>9250091</v>
      </c>
      <c r="F3339" s="3" t="s">
        <v>10645</v>
      </c>
      <c r="G3339" s="5">
        <v>2671028522</v>
      </c>
      <c r="H3339" s="4" t="s">
        <v>10646</v>
      </c>
      <c r="I3339" s="4" t="s">
        <v>10647</v>
      </c>
      <c r="J3339" s="4" t="s">
        <v>10648</v>
      </c>
      <c r="K3339" s="4" t="s">
        <v>10649</v>
      </c>
      <c r="L3339" s="5">
        <v>28100</v>
      </c>
    </row>
    <row r="3340" spans="1:12" x14ac:dyDescent="0.25">
      <c r="A3340" s="3" t="s">
        <v>10327</v>
      </c>
      <c r="B3340" s="4" t="s">
        <v>10644</v>
      </c>
      <c r="C3340" s="4" t="s">
        <v>25</v>
      </c>
      <c r="D3340" s="4" t="s">
        <v>26</v>
      </c>
      <c r="E3340" s="5" t="str">
        <f>"9250125"</f>
        <v>9250125</v>
      </c>
      <c r="F3340" s="3" t="s">
        <v>10650</v>
      </c>
      <c r="G3340" s="5">
        <v>2671024914</v>
      </c>
      <c r="H3340" s="4" t="s">
        <v>10651</v>
      </c>
      <c r="I3340" s="4" t="s">
        <v>10647</v>
      </c>
      <c r="J3340" s="4" t="s">
        <v>10648</v>
      </c>
      <c r="K3340" s="4" t="s">
        <v>10652</v>
      </c>
      <c r="L3340" s="5">
        <v>28100</v>
      </c>
    </row>
    <row r="3341" spans="1:12" x14ac:dyDescent="0.25">
      <c r="A3341" s="3" t="s">
        <v>10327</v>
      </c>
      <c r="B3341" s="4" t="s">
        <v>10644</v>
      </c>
      <c r="C3341" s="4" t="s">
        <v>14</v>
      </c>
      <c r="D3341" s="4" t="s">
        <v>15</v>
      </c>
      <c r="E3341" s="5" t="str">
        <f>"9250097"</f>
        <v>9250097</v>
      </c>
      <c r="F3341" s="3" t="s">
        <v>10653</v>
      </c>
      <c r="G3341" s="5">
        <v>2671022092</v>
      </c>
      <c r="H3341" s="4" t="s">
        <v>10654</v>
      </c>
      <c r="I3341" s="4" t="s">
        <v>10647</v>
      </c>
      <c r="J3341" s="4" t="s">
        <v>10648</v>
      </c>
      <c r="K3341" s="4" t="s">
        <v>10655</v>
      </c>
      <c r="L3341" s="5">
        <v>28100</v>
      </c>
    </row>
    <row r="3342" spans="1:12" x14ac:dyDescent="0.25">
      <c r="A3342" s="3" t="s">
        <v>10327</v>
      </c>
      <c r="B3342" s="4" t="s">
        <v>10644</v>
      </c>
      <c r="C3342" s="4" t="s">
        <v>25</v>
      </c>
      <c r="D3342" s="4" t="s">
        <v>26</v>
      </c>
      <c r="E3342" s="5" t="str">
        <f>"9250103"</f>
        <v>9250103</v>
      </c>
      <c r="F3342" s="3" t="s">
        <v>10656</v>
      </c>
      <c r="G3342" s="5">
        <v>2671092614</v>
      </c>
      <c r="H3342" s="4" t="s">
        <v>10657</v>
      </c>
      <c r="I3342" s="4" t="s">
        <v>10658</v>
      </c>
      <c r="J3342" s="4" t="s">
        <v>10659</v>
      </c>
      <c r="K3342" s="4" t="s">
        <v>10660</v>
      </c>
      <c r="L3342" s="5">
        <v>28200</v>
      </c>
    </row>
    <row r="3343" spans="1:12" x14ac:dyDescent="0.25">
      <c r="A3343" s="3" t="s">
        <v>10327</v>
      </c>
      <c r="B3343" s="4" t="s">
        <v>10644</v>
      </c>
      <c r="C3343" s="4" t="s">
        <v>14</v>
      </c>
      <c r="D3343" s="4" t="s">
        <v>15</v>
      </c>
      <c r="E3343" s="5" t="str">
        <f>"9250011"</f>
        <v>9250011</v>
      </c>
      <c r="F3343" s="3" t="s">
        <v>10661</v>
      </c>
      <c r="G3343" s="5">
        <v>2671022668</v>
      </c>
      <c r="H3343" s="4" t="s">
        <v>10662</v>
      </c>
      <c r="I3343" s="4" t="s">
        <v>10647</v>
      </c>
      <c r="J3343" s="4" t="s">
        <v>10648</v>
      </c>
      <c r="K3343" s="4" t="s">
        <v>10663</v>
      </c>
      <c r="L3343" s="5">
        <v>28100</v>
      </c>
    </row>
    <row r="3344" spans="1:12" x14ac:dyDescent="0.25">
      <c r="A3344" s="3" t="s">
        <v>10327</v>
      </c>
      <c r="B3344" s="4" t="s">
        <v>10644</v>
      </c>
      <c r="C3344" s="4" t="s">
        <v>14</v>
      </c>
      <c r="D3344" s="4" t="s">
        <v>15</v>
      </c>
      <c r="E3344" s="5" t="str">
        <f>"9250002"</f>
        <v>9250002</v>
      </c>
      <c r="F3344" s="3" t="s">
        <v>10664</v>
      </c>
      <c r="G3344" s="5">
        <v>2674032309</v>
      </c>
      <c r="H3344" s="4" t="s">
        <v>10665</v>
      </c>
      <c r="I3344" s="4" t="s">
        <v>10666</v>
      </c>
      <c r="J3344" s="4" t="s">
        <v>10667</v>
      </c>
      <c r="K3344" s="4" t="s">
        <v>10667</v>
      </c>
      <c r="L3344" s="5">
        <v>28300</v>
      </c>
    </row>
    <row r="3345" spans="1:12" x14ac:dyDescent="0.25">
      <c r="A3345" s="3" t="s">
        <v>10327</v>
      </c>
      <c r="B3345" s="4" t="s">
        <v>10644</v>
      </c>
      <c r="C3345" s="4" t="s">
        <v>14</v>
      </c>
      <c r="D3345" s="4" t="s">
        <v>15</v>
      </c>
      <c r="E3345" s="5" t="str">
        <f>"9250012"</f>
        <v>9250012</v>
      </c>
      <c r="F3345" s="3" t="s">
        <v>10668</v>
      </c>
      <c r="G3345" s="5">
        <v>2671028433</v>
      </c>
      <c r="H3345" s="4" t="s">
        <v>10669</v>
      </c>
      <c r="I3345" s="4" t="s">
        <v>10647</v>
      </c>
      <c r="J3345" s="4" t="s">
        <v>10670</v>
      </c>
      <c r="K3345" s="4" t="s">
        <v>10663</v>
      </c>
      <c r="L3345" s="5">
        <v>28100</v>
      </c>
    </row>
    <row r="3346" spans="1:12" x14ac:dyDescent="0.25">
      <c r="A3346" s="3" t="s">
        <v>10327</v>
      </c>
      <c r="B3346" s="4" t="s">
        <v>10644</v>
      </c>
      <c r="C3346" s="4" t="s">
        <v>14</v>
      </c>
      <c r="D3346" s="4" t="s">
        <v>15</v>
      </c>
      <c r="E3346" s="5" t="str">
        <f>"9250085"</f>
        <v>9250085</v>
      </c>
      <c r="F3346" s="3" t="s">
        <v>10671</v>
      </c>
      <c r="G3346" s="5">
        <v>2674022143</v>
      </c>
      <c r="H3346" s="4" t="s">
        <v>10672</v>
      </c>
      <c r="I3346" s="4" t="s">
        <v>10673</v>
      </c>
      <c r="J3346" s="4" t="s">
        <v>10674</v>
      </c>
      <c r="K3346" s="4" t="s">
        <v>10675</v>
      </c>
      <c r="L3346" s="5">
        <v>28080</v>
      </c>
    </row>
    <row r="3347" spans="1:12" x14ac:dyDescent="0.25">
      <c r="A3347" s="3" t="s">
        <v>10327</v>
      </c>
      <c r="B3347" s="4" t="s">
        <v>10644</v>
      </c>
      <c r="C3347" s="4" t="s">
        <v>14</v>
      </c>
      <c r="D3347" s="4" t="s">
        <v>15</v>
      </c>
      <c r="E3347" s="5" t="str">
        <f>"9250045"</f>
        <v>9250045</v>
      </c>
      <c r="F3347" s="3" t="s">
        <v>10676</v>
      </c>
      <c r="G3347" s="5">
        <v>2671083386</v>
      </c>
      <c r="H3347" s="4" t="s">
        <v>10677</v>
      </c>
      <c r="I3347" s="4" t="s">
        <v>10647</v>
      </c>
      <c r="J3347" s="4" t="s">
        <v>10678</v>
      </c>
      <c r="K3347" s="4" t="s">
        <v>10678</v>
      </c>
      <c r="L3347" s="5">
        <v>28086</v>
      </c>
    </row>
    <row r="3348" spans="1:12" x14ac:dyDescent="0.25">
      <c r="A3348" s="3" t="s">
        <v>10327</v>
      </c>
      <c r="B3348" s="4" t="s">
        <v>10644</v>
      </c>
      <c r="C3348" s="4" t="s">
        <v>14</v>
      </c>
      <c r="D3348" s="4" t="s">
        <v>15</v>
      </c>
      <c r="E3348" s="5" t="str">
        <f>"9250026"</f>
        <v>9250026</v>
      </c>
      <c r="F3348" s="3" t="s">
        <v>10679</v>
      </c>
      <c r="G3348" s="5">
        <v>2671069006</v>
      </c>
      <c r="H3348" s="4" t="s">
        <v>10680</v>
      </c>
      <c r="I3348" s="4" t="s">
        <v>10647</v>
      </c>
      <c r="J3348" s="4" t="s">
        <v>10681</v>
      </c>
      <c r="K3348" s="4" t="s">
        <v>10681</v>
      </c>
      <c r="L3348" s="5">
        <v>28100</v>
      </c>
    </row>
    <row r="3349" spans="1:12" x14ac:dyDescent="0.25">
      <c r="A3349" s="3" t="s">
        <v>10327</v>
      </c>
      <c r="B3349" s="4" t="s">
        <v>10644</v>
      </c>
      <c r="C3349" s="4" t="s">
        <v>14</v>
      </c>
      <c r="D3349" s="4" t="s">
        <v>15</v>
      </c>
      <c r="E3349" s="5" t="str">
        <f>"9250081"</f>
        <v>9250081</v>
      </c>
      <c r="F3349" s="3" t="s">
        <v>10682</v>
      </c>
      <c r="G3349" s="5">
        <v>2674041170</v>
      </c>
      <c r="H3349" s="4" t="s">
        <v>10683</v>
      </c>
      <c r="I3349" s="4" t="s">
        <v>10673</v>
      </c>
      <c r="J3349" s="4" t="s">
        <v>10684</v>
      </c>
      <c r="K3349" s="4" t="s">
        <v>10685</v>
      </c>
      <c r="L3349" s="5">
        <v>28084</v>
      </c>
    </row>
    <row r="3350" spans="1:12" x14ac:dyDescent="0.25">
      <c r="A3350" s="3" t="s">
        <v>10327</v>
      </c>
      <c r="B3350" s="4" t="s">
        <v>10644</v>
      </c>
      <c r="C3350" s="4" t="s">
        <v>14</v>
      </c>
      <c r="D3350" s="4" t="s">
        <v>15</v>
      </c>
      <c r="E3350" s="5" t="str">
        <f>"9250051"</f>
        <v>9250051</v>
      </c>
      <c r="F3350" s="3" t="s">
        <v>10686</v>
      </c>
      <c r="G3350" s="5">
        <v>2671091338</v>
      </c>
      <c r="H3350" s="4" t="s">
        <v>10687</v>
      </c>
      <c r="I3350" s="4" t="s">
        <v>10658</v>
      </c>
      <c r="J3350" s="4" t="s">
        <v>10659</v>
      </c>
      <c r="K3350" s="4" t="s">
        <v>10688</v>
      </c>
      <c r="L3350" s="5">
        <v>28200</v>
      </c>
    </row>
    <row r="3351" spans="1:12" x14ac:dyDescent="0.25">
      <c r="A3351" s="3" t="s">
        <v>10327</v>
      </c>
      <c r="B3351" s="4" t="s">
        <v>10644</v>
      </c>
      <c r="C3351" s="4" t="s">
        <v>25</v>
      </c>
      <c r="D3351" s="4" t="s">
        <v>26</v>
      </c>
      <c r="E3351" s="5" t="str">
        <f>"9250124"</f>
        <v>9250124</v>
      </c>
      <c r="F3351" s="3" t="s">
        <v>10689</v>
      </c>
      <c r="G3351" s="5">
        <v>2671068245</v>
      </c>
      <c r="H3351" s="4" t="s">
        <v>10690</v>
      </c>
      <c r="I3351" s="4" t="s">
        <v>10647</v>
      </c>
      <c r="J3351" s="4" t="s">
        <v>10681</v>
      </c>
      <c r="K3351" s="4" t="s">
        <v>10681</v>
      </c>
      <c r="L3351" s="5">
        <v>28100</v>
      </c>
    </row>
    <row r="3352" spans="1:12" x14ac:dyDescent="0.25">
      <c r="A3352" s="3" t="s">
        <v>10327</v>
      </c>
      <c r="B3352" s="4" t="s">
        <v>10644</v>
      </c>
      <c r="C3352" s="4" t="s">
        <v>14</v>
      </c>
      <c r="D3352" s="4" t="s">
        <v>15</v>
      </c>
      <c r="E3352" s="5" t="str">
        <f>"9250050"</f>
        <v>9250050</v>
      </c>
      <c r="F3352" s="3" t="s">
        <v>10691</v>
      </c>
      <c r="G3352" s="5">
        <v>2671094069</v>
      </c>
      <c r="H3352" s="4" t="s">
        <v>10692</v>
      </c>
      <c r="I3352" s="4" t="s">
        <v>10658</v>
      </c>
      <c r="J3352" s="4" t="s">
        <v>10659</v>
      </c>
      <c r="K3352" s="4" t="s">
        <v>10693</v>
      </c>
      <c r="L3352" s="5">
        <v>28200</v>
      </c>
    </row>
    <row r="3353" spans="1:12" x14ac:dyDescent="0.25">
      <c r="A3353" s="3" t="s">
        <v>10327</v>
      </c>
      <c r="B3353" s="4" t="s">
        <v>10644</v>
      </c>
      <c r="C3353" s="4" t="s">
        <v>25</v>
      </c>
      <c r="D3353" s="4" t="s">
        <v>26</v>
      </c>
      <c r="E3353" s="5" t="str">
        <f>"9250094"</f>
        <v>9250094</v>
      </c>
      <c r="F3353" s="3" t="s">
        <v>10694</v>
      </c>
      <c r="G3353" s="5">
        <v>2674032348</v>
      </c>
      <c r="H3353" s="4" t="s">
        <v>10695</v>
      </c>
      <c r="I3353" s="4" t="s">
        <v>10666</v>
      </c>
      <c r="J3353" s="4" t="s">
        <v>10667</v>
      </c>
      <c r="K3353" s="4" t="s">
        <v>10696</v>
      </c>
      <c r="L3353" s="5">
        <v>28300</v>
      </c>
    </row>
    <row r="3354" spans="1:12" x14ac:dyDescent="0.25">
      <c r="A3354" s="3" t="s">
        <v>10327</v>
      </c>
      <c r="B3354" s="4" t="s">
        <v>10644</v>
      </c>
      <c r="C3354" s="4" t="s">
        <v>14</v>
      </c>
      <c r="D3354" s="4" t="s">
        <v>15</v>
      </c>
      <c r="E3354" s="5" t="str">
        <f>"9250109"</f>
        <v>9250109</v>
      </c>
      <c r="F3354" s="3" t="s">
        <v>10697</v>
      </c>
      <c r="G3354" s="5">
        <v>2671022902</v>
      </c>
      <c r="H3354" s="4" t="s">
        <v>10698</v>
      </c>
      <c r="I3354" s="4" t="s">
        <v>10647</v>
      </c>
      <c r="J3354" s="4" t="s">
        <v>10648</v>
      </c>
      <c r="K3354" s="4" t="s">
        <v>10699</v>
      </c>
      <c r="L3354" s="5">
        <v>28100</v>
      </c>
    </row>
    <row r="3355" spans="1:12" x14ac:dyDescent="0.25">
      <c r="A3355" s="3" t="s">
        <v>10327</v>
      </c>
      <c r="B3355" s="4" t="s">
        <v>10644</v>
      </c>
      <c r="C3355" s="4" t="s">
        <v>14</v>
      </c>
      <c r="D3355" s="4" t="s">
        <v>15</v>
      </c>
      <c r="E3355" s="5" t="str">
        <f>"9250020"</f>
        <v>9250020</v>
      </c>
      <c r="F3355" s="3" t="s">
        <v>10700</v>
      </c>
      <c r="G3355" s="5">
        <v>2671031281</v>
      </c>
      <c r="H3355" s="4" t="s">
        <v>10701</v>
      </c>
      <c r="I3355" s="4" t="s">
        <v>10647</v>
      </c>
      <c r="J3355" s="4" t="s">
        <v>10702</v>
      </c>
      <c r="K3355" s="4" t="s">
        <v>10702</v>
      </c>
      <c r="L3355" s="5">
        <v>28100</v>
      </c>
    </row>
    <row r="3356" spans="1:12" x14ac:dyDescent="0.25">
      <c r="A3356" s="3" t="s">
        <v>10327</v>
      </c>
      <c r="B3356" s="4" t="s">
        <v>10644</v>
      </c>
      <c r="C3356" s="4" t="s">
        <v>25</v>
      </c>
      <c r="D3356" s="4" t="s">
        <v>26</v>
      </c>
      <c r="E3356" s="5" t="str">
        <f>"9250092"</f>
        <v>9250092</v>
      </c>
      <c r="F3356" s="3" t="s">
        <v>10703</v>
      </c>
      <c r="G3356" s="5">
        <v>2671360201</v>
      </c>
      <c r="H3356" s="4" t="s">
        <v>10704</v>
      </c>
      <c r="I3356" s="4" t="s">
        <v>10647</v>
      </c>
      <c r="J3356" s="4" t="s">
        <v>10648</v>
      </c>
      <c r="K3356" s="4" t="s">
        <v>10705</v>
      </c>
      <c r="L3356" s="5">
        <v>28100</v>
      </c>
    </row>
    <row r="3357" spans="1:12" x14ac:dyDescent="0.25">
      <c r="A3357" s="3" t="s">
        <v>10327</v>
      </c>
      <c r="B3357" s="4" t="s">
        <v>10644</v>
      </c>
      <c r="C3357" s="4" t="s">
        <v>25</v>
      </c>
      <c r="D3357" s="4" t="s">
        <v>26</v>
      </c>
      <c r="E3357" s="5" t="str">
        <f>"9250100"</f>
        <v>9250100</v>
      </c>
      <c r="F3357" s="3" t="s">
        <v>10706</v>
      </c>
      <c r="G3357" s="5">
        <v>2674022814</v>
      </c>
      <c r="H3357" s="4" t="s">
        <v>10707</v>
      </c>
      <c r="I3357" s="4" t="s">
        <v>10673</v>
      </c>
      <c r="J3357" s="4" t="s">
        <v>10674</v>
      </c>
      <c r="K3357" s="4" t="s">
        <v>10674</v>
      </c>
      <c r="L3357" s="5">
        <v>28080</v>
      </c>
    </row>
    <row r="3358" spans="1:12" x14ac:dyDescent="0.25">
      <c r="A3358" s="3" t="s">
        <v>10327</v>
      </c>
      <c r="B3358" s="4" t="s">
        <v>10644</v>
      </c>
      <c r="C3358" s="4" t="s">
        <v>25</v>
      </c>
      <c r="D3358" s="4" t="s">
        <v>26</v>
      </c>
      <c r="E3358" s="5" t="str">
        <f>"9250093"</f>
        <v>9250093</v>
      </c>
      <c r="F3358" s="3" t="s">
        <v>10708</v>
      </c>
      <c r="G3358" s="5">
        <v>2671091870</v>
      </c>
      <c r="H3358" s="4" t="s">
        <v>10709</v>
      </c>
      <c r="I3358" s="4" t="s">
        <v>10658</v>
      </c>
      <c r="J3358" s="4" t="s">
        <v>10659</v>
      </c>
      <c r="K3358" s="4" t="s">
        <v>10710</v>
      </c>
      <c r="L3358" s="5">
        <v>28200</v>
      </c>
    </row>
    <row r="3359" spans="1:12" x14ac:dyDescent="0.25">
      <c r="A3359" s="3" t="s">
        <v>10327</v>
      </c>
      <c r="B3359" s="4" t="s">
        <v>10644</v>
      </c>
      <c r="C3359" s="4" t="s">
        <v>14</v>
      </c>
      <c r="D3359" s="4" t="s">
        <v>15</v>
      </c>
      <c r="E3359" s="5" t="str">
        <f>"9250041"</f>
        <v>9250041</v>
      </c>
      <c r="F3359" s="3" t="s">
        <v>10711</v>
      </c>
      <c r="G3359" s="5">
        <v>2674072421</v>
      </c>
      <c r="H3359" s="4" t="s">
        <v>10712</v>
      </c>
      <c r="I3359" s="4" t="s">
        <v>10647</v>
      </c>
      <c r="J3359" s="4" t="s">
        <v>6130</v>
      </c>
      <c r="K3359" s="4" t="s">
        <v>10713</v>
      </c>
      <c r="L3359" s="5">
        <v>28086</v>
      </c>
    </row>
    <row r="3360" spans="1:12" x14ac:dyDescent="0.25">
      <c r="A3360" s="3" t="s">
        <v>10327</v>
      </c>
      <c r="B3360" s="4" t="s">
        <v>10644</v>
      </c>
      <c r="C3360" s="4" t="s">
        <v>14</v>
      </c>
      <c r="D3360" s="4" t="s">
        <v>15</v>
      </c>
      <c r="E3360" s="5" t="str">
        <f>"9250013"</f>
        <v>9250013</v>
      </c>
      <c r="F3360" s="3" t="s">
        <v>10714</v>
      </c>
      <c r="G3360" s="5">
        <v>2671028457</v>
      </c>
      <c r="H3360" s="4" t="s">
        <v>10715</v>
      </c>
      <c r="I3360" s="4" t="s">
        <v>10647</v>
      </c>
      <c r="J3360" s="4" t="s">
        <v>10670</v>
      </c>
      <c r="K3360" s="4" t="s">
        <v>10716</v>
      </c>
      <c r="L3360" s="5">
        <v>28100</v>
      </c>
    </row>
    <row r="3361" spans="1:12" x14ac:dyDescent="0.25">
      <c r="A3361" s="3" t="s">
        <v>10327</v>
      </c>
      <c r="B3361" s="4" t="s">
        <v>10644</v>
      </c>
      <c r="C3361" s="4" t="s">
        <v>14</v>
      </c>
      <c r="D3361" s="4" t="s">
        <v>15</v>
      </c>
      <c r="E3361" s="5" t="str">
        <f>"9521017"</f>
        <v>9521017</v>
      </c>
      <c r="F3361" s="3" t="s">
        <v>10717</v>
      </c>
      <c r="G3361" s="5">
        <v>2671020112</v>
      </c>
      <c r="H3361" s="4" t="s">
        <v>10718</v>
      </c>
      <c r="I3361" s="4" t="s">
        <v>10647</v>
      </c>
      <c r="J3361" s="4" t="s">
        <v>10648</v>
      </c>
      <c r="K3361" s="4" t="s">
        <v>10719</v>
      </c>
      <c r="L3361" s="5">
        <v>28100</v>
      </c>
    </row>
    <row r="3362" spans="1:12" x14ac:dyDescent="0.25">
      <c r="A3362" s="3" t="s">
        <v>10327</v>
      </c>
      <c r="B3362" s="4" t="s">
        <v>10644</v>
      </c>
      <c r="C3362" s="4" t="s">
        <v>25</v>
      </c>
      <c r="D3362" s="4" t="s">
        <v>26</v>
      </c>
      <c r="E3362" s="5" t="str">
        <f>"9521603"</f>
        <v>9521603</v>
      </c>
      <c r="F3362" s="3" t="s">
        <v>10720</v>
      </c>
      <c r="G3362" s="5">
        <v>2671027424</v>
      </c>
      <c r="H3362" s="4" t="s">
        <v>10721</v>
      </c>
      <c r="I3362" s="4" t="s">
        <v>10647</v>
      </c>
      <c r="J3362" s="4" t="s">
        <v>10648</v>
      </c>
      <c r="K3362" s="4" t="s">
        <v>10722</v>
      </c>
      <c r="L3362" s="5">
        <v>28100</v>
      </c>
    </row>
    <row r="3363" spans="1:12" x14ac:dyDescent="0.25">
      <c r="A3363" s="3" t="s">
        <v>10327</v>
      </c>
      <c r="B3363" s="4" t="s">
        <v>10723</v>
      </c>
      <c r="C3363" s="4" t="s">
        <v>14</v>
      </c>
      <c r="D3363" s="4" t="s">
        <v>179</v>
      </c>
      <c r="E3363" s="5" t="str">
        <f>"9340032"</f>
        <v>9340032</v>
      </c>
      <c r="F3363" s="3" t="s">
        <v>10724</v>
      </c>
      <c r="G3363" s="5">
        <v>2645051152</v>
      </c>
      <c r="H3363" s="4" t="s">
        <v>10725</v>
      </c>
      <c r="I3363" s="4" t="s">
        <v>10726</v>
      </c>
      <c r="J3363" s="4" t="s">
        <v>10727</v>
      </c>
      <c r="K3363" s="4" t="s">
        <v>10728</v>
      </c>
      <c r="L3363" s="5">
        <v>31083</v>
      </c>
    </row>
    <row r="3364" spans="1:12" x14ac:dyDescent="0.25">
      <c r="A3364" s="3" t="s">
        <v>10327</v>
      </c>
      <c r="B3364" s="4" t="s">
        <v>10723</v>
      </c>
      <c r="C3364" s="4" t="s">
        <v>14</v>
      </c>
      <c r="D3364" s="4" t="s">
        <v>830</v>
      </c>
      <c r="E3364" s="5" t="str">
        <f>"9340005"</f>
        <v>9340005</v>
      </c>
      <c r="F3364" s="3" t="s">
        <v>10729</v>
      </c>
      <c r="G3364" s="5">
        <v>2645022630</v>
      </c>
      <c r="H3364" s="4" t="s">
        <v>10730</v>
      </c>
      <c r="I3364" s="4" t="s">
        <v>10731</v>
      </c>
      <c r="J3364" s="4" t="s">
        <v>10732</v>
      </c>
      <c r="K3364" s="4" t="s">
        <v>10733</v>
      </c>
      <c r="L3364" s="5">
        <v>31100</v>
      </c>
    </row>
    <row r="3365" spans="1:12" x14ac:dyDescent="0.25">
      <c r="A3365" s="3" t="s">
        <v>10327</v>
      </c>
      <c r="B3365" s="4" t="s">
        <v>10723</v>
      </c>
      <c r="C3365" s="4" t="s">
        <v>25</v>
      </c>
      <c r="D3365" s="4" t="s">
        <v>26</v>
      </c>
      <c r="E3365" s="5" t="str">
        <f>"9340066"</f>
        <v>9340066</v>
      </c>
      <c r="F3365" s="3" t="s">
        <v>10734</v>
      </c>
      <c r="G3365" s="5">
        <v>2645092498</v>
      </c>
      <c r="H3365" s="4" t="s">
        <v>10735</v>
      </c>
      <c r="I3365" s="4" t="s">
        <v>10731</v>
      </c>
      <c r="J3365" s="4" t="s">
        <v>10736</v>
      </c>
      <c r="K3365" s="4" t="s">
        <v>10737</v>
      </c>
      <c r="L3365" s="5">
        <v>31084</v>
      </c>
    </row>
    <row r="3366" spans="1:12" x14ac:dyDescent="0.25">
      <c r="A3366" s="3" t="s">
        <v>10327</v>
      </c>
      <c r="B3366" s="4" t="s">
        <v>10723</v>
      </c>
      <c r="C3366" s="4" t="s">
        <v>14</v>
      </c>
      <c r="D3366" s="4" t="s">
        <v>179</v>
      </c>
      <c r="E3366" s="5" t="str">
        <f>"9340035"</f>
        <v>9340035</v>
      </c>
      <c r="F3366" s="3" t="s">
        <v>10738</v>
      </c>
      <c r="G3366" s="5">
        <v>2645031148</v>
      </c>
      <c r="H3366" s="4" t="s">
        <v>10739</v>
      </c>
      <c r="I3366" s="4" t="s">
        <v>10731</v>
      </c>
      <c r="J3366" s="4" t="s">
        <v>10740</v>
      </c>
      <c r="K3366" s="4" t="s">
        <v>10741</v>
      </c>
      <c r="L3366" s="5">
        <v>31082</v>
      </c>
    </row>
    <row r="3367" spans="1:12" x14ac:dyDescent="0.25">
      <c r="A3367" s="3" t="s">
        <v>10327</v>
      </c>
      <c r="B3367" s="4" t="s">
        <v>10723</v>
      </c>
      <c r="C3367" s="4" t="s">
        <v>25</v>
      </c>
      <c r="D3367" s="4" t="s">
        <v>26</v>
      </c>
      <c r="E3367" s="5" t="str">
        <f>"9340073"</f>
        <v>9340073</v>
      </c>
      <c r="F3367" s="3" t="s">
        <v>10742</v>
      </c>
      <c r="G3367" s="5">
        <v>2645071089</v>
      </c>
      <c r="H3367" s="4" t="s">
        <v>10743</v>
      </c>
      <c r="I3367" s="4" t="s">
        <v>10731</v>
      </c>
      <c r="J3367" s="4" t="s">
        <v>10744</v>
      </c>
      <c r="K3367" s="4" t="s">
        <v>10745</v>
      </c>
      <c r="L3367" s="5">
        <v>31100</v>
      </c>
    </row>
    <row r="3368" spans="1:12" x14ac:dyDescent="0.25">
      <c r="A3368" s="3" t="s">
        <v>10327</v>
      </c>
      <c r="B3368" s="4" t="s">
        <v>10723</v>
      </c>
      <c r="C3368" s="4" t="s">
        <v>25</v>
      </c>
      <c r="D3368" s="4" t="s">
        <v>26</v>
      </c>
      <c r="E3368" s="5" t="str">
        <f>"9340071"</f>
        <v>9340071</v>
      </c>
      <c r="F3368" s="3" t="s">
        <v>10746</v>
      </c>
      <c r="G3368" s="5">
        <v>2645024319</v>
      </c>
      <c r="H3368" s="4" t="s">
        <v>10747</v>
      </c>
      <c r="I3368" s="4" t="s">
        <v>10731</v>
      </c>
      <c r="J3368" s="4" t="s">
        <v>10732</v>
      </c>
      <c r="K3368" s="4" t="s">
        <v>10748</v>
      </c>
      <c r="L3368" s="5">
        <v>31100</v>
      </c>
    </row>
    <row r="3369" spans="1:12" x14ac:dyDescent="0.25">
      <c r="A3369" s="3" t="s">
        <v>10327</v>
      </c>
      <c r="B3369" s="4" t="s">
        <v>10723</v>
      </c>
      <c r="C3369" s="4" t="s">
        <v>25</v>
      </c>
      <c r="D3369" s="4" t="s">
        <v>26</v>
      </c>
      <c r="E3369" s="5" t="str">
        <f>"9340002"</f>
        <v>9340002</v>
      </c>
      <c r="F3369" s="3" t="s">
        <v>10749</v>
      </c>
      <c r="G3369" s="5">
        <v>2645022216</v>
      </c>
      <c r="H3369" s="4" t="s">
        <v>10750</v>
      </c>
      <c r="I3369" s="4" t="s">
        <v>10731</v>
      </c>
      <c r="J3369" s="4" t="s">
        <v>10731</v>
      </c>
      <c r="K3369" s="4" t="s">
        <v>10751</v>
      </c>
      <c r="L3369" s="5">
        <v>31100</v>
      </c>
    </row>
    <row r="3370" spans="1:12" x14ac:dyDescent="0.25">
      <c r="A3370" s="3" t="s">
        <v>10327</v>
      </c>
      <c r="B3370" s="4" t="s">
        <v>10723</v>
      </c>
      <c r="C3370" s="4" t="s">
        <v>14</v>
      </c>
      <c r="D3370" s="4" t="s">
        <v>15</v>
      </c>
      <c r="E3370" s="5" t="str">
        <f>"9340004"</f>
        <v>9340004</v>
      </c>
      <c r="F3370" s="3" t="s">
        <v>10752</v>
      </c>
      <c r="G3370" s="5">
        <v>2645022786</v>
      </c>
      <c r="H3370" s="4" t="s">
        <v>10753</v>
      </c>
      <c r="I3370" s="4" t="s">
        <v>10731</v>
      </c>
      <c r="J3370" s="4" t="s">
        <v>10732</v>
      </c>
      <c r="K3370" s="4" t="s">
        <v>10754</v>
      </c>
      <c r="L3370" s="5">
        <v>31100</v>
      </c>
    </row>
    <row r="3371" spans="1:12" x14ac:dyDescent="0.25">
      <c r="A3371" s="3" t="s">
        <v>10327</v>
      </c>
      <c r="B3371" s="4" t="s">
        <v>10723</v>
      </c>
      <c r="C3371" s="4" t="s">
        <v>14</v>
      </c>
      <c r="D3371" s="4" t="s">
        <v>15</v>
      </c>
      <c r="E3371" s="5" t="str">
        <f>"9340003"</f>
        <v>9340003</v>
      </c>
      <c r="F3371" s="3" t="s">
        <v>10755</v>
      </c>
      <c r="G3371" s="5">
        <v>2645025065</v>
      </c>
      <c r="H3371" s="4" t="s">
        <v>10756</v>
      </c>
      <c r="I3371" s="4" t="s">
        <v>10731</v>
      </c>
      <c r="J3371" s="4" t="s">
        <v>10732</v>
      </c>
      <c r="K3371" s="4" t="s">
        <v>10757</v>
      </c>
      <c r="L3371" s="5">
        <v>31100</v>
      </c>
    </row>
    <row r="3372" spans="1:12" x14ac:dyDescent="0.25">
      <c r="A3372" s="3" t="s">
        <v>10327</v>
      </c>
      <c r="B3372" s="4" t="s">
        <v>10723</v>
      </c>
      <c r="C3372" s="4" t="s">
        <v>14</v>
      </c>
      <c r="D3372" s="4" t="s">
        <v>15</v>
      </c>
      <c r="E3372" s="5" t="str">
        <f>"9340070"</f>
        <v>9340070</v>
      </c>
      <c r="F3372" s="3" t="s">
        <v>10758</v>
      </c>
      <c r="G3372" s="5">
        <v>2645024786</v>
      </c>
      <c r="H3372" s="4" t="s">
        <v>10759</v>
      </c>
      <c r="I3372" s="4" t="s">
        <v>10731</v>
      </c>
      <c r="J3372" s="4" t="s">
        <v>10732</v>
      </c>
      <c r="K3372" s="4" t="s">
        <v>10760</v>
      </c>
      <c r="L3372" s="5">
        <v>31100</v>
      </c>
    </row>
    <row r="3373" spans="1:12" x14ac:dyDescent="0.25">
      <c r="A3373" s="3" t="s">
        <v>10327</v>
      </c>
      <c r="B3373" s="4" t="s">
        <v>10723</v>
      </c>
      <c r="C3373" s="4" t="s">
        <v>14</v>
      </c>
      <c r="D3373" s="4" t="s">
        <v>15</v>
      </c>
      <c r="E3373" s="5" t="str">
        <f>"9340030"</f>
        <v>9340030</v>
      </c>
      <c r="F3373" s="3" t="s">
        <v>10761</v>
      </c>
      <c r="G3373" s="5">
        <v>2645071243</v>
      </c>
      <c r="H3373" s="4" t="s">
        <v>10762</v>
      </c>
      <c r="I3373" s="4" t="s">
        <v>10731</v>
      </c>
      <c r="J3373" s="4" t="s">
        <v>10763</v>
      </c>
      <c r="K3373" s="4" t="s">
        <v>10745</v>
      </c>
      <c r="L3373" s="5">
        <v>31100</v>
      </c>
    </row>
    <row r="3374" spans="1:12" x14ac:dyDescent="0.25">
      <c r="A3374" s="3" t="s">
        <v>10327</v>
      </c>
      <c r="B3374" s="4" t="s">
        <v>10723</v>
      </c>
      <c r="C3374" s="4" t="s">
        <v>14</v>
      </c>
      <c r="D3374" s="4" t="s">
        <v>15</v>
      </c>
      <c r="E3374" s="5" t="str">
        <f>"9340016"</f>
        <v>9340016</v>
      </c>
      <c r="F3374" s="3" t="s">
        <v>10764</v>
      </c>
      <c r="G3374" s="5">
        <v>2645031211</v>
      </c>
      <c r="H3374" s="4" t="s">
        <v>10765</v>
      </c>
      <c r="I3374" s="4" t="s">
        <v>10731</v>
      </c>
      <c r="J3374" s="4" t="s">
        <v>10766</v>
      </c>
      <c r="K3374" s="4" t="s">
        <v>10767</v>
      </c>
      <c r="L3374" s="5">
        <v>31082</v>
      </c>
    </row>
    <row r="3375" spans="1:12" x14ac:dyDescent="0.25">
      <c r="A3375" s="3" t="s">
        <v>10327</v>
      </c>
      <c r="B3375" s="4" t="s">
        <v>10723</v>
      </c>
      <c r="C3375" s="4" t="s">
        <v>14</v>
      </c>
      <c r="D3375" s="4" t="s">
        <v>15</v>
      </c>
      <c r="E3375" s="5" t="str">
        <f>"9340038"</f>
        <v>9340038</v>
      </c>
      <c r="F3375" s="3" t="s">
        <v>10768</v>
      </c>
      <c r="G3375" s="5">
        <v>2645092450</v>
      </c>
      <c r="H3375" s="4" t="s">
        <v>10769</v>
      </c>
      <c r="I3375" s="4" t="s">
        <v>10731</v>
      </c>
      <c r="J3375" s="4" t="s">
        <v>10770</v>
      </c>
      <c r="K3375" s="4" t="s">
        <v>10770</v>
      </c>
      <c r="L3375" s="5">
        <v>31084</v>
      </c>
    </row>
    <row r="3376" spans="1:12" x14ac:dyDescent="0.25">
      <c r="A3376" s="3" t="s">
        <v>10327</v>
      </c>
      <c r="B3376" s="4" t="s">
        <v>10723</v>
      </c>
      <c r="C3376" s="4" t="s">
        <v>14</v>
      </c>
      <c r="D3376" s="4" t="s">
        <v>15</v>
      </c>
      <c r="E3376" s="5" t="str">
        <f>"9340029"</f>
        <v>9340029</v>
      </c>
      <c r="F3376" s="3" t="s">
        <v>10771</v>
      </c>
      <c r="G3376" s="5">
        <v>2645061380</v>
      </c>
      <c r="H3376" s="4" t="s">
        <v>10772</v>
      </c>
      <c r="I3376" s="4" t="s">
        <v>10731</v>
      </c>
      <c r="J3376" s="4" t="s">
        <v>10773</v>
      </c>
      <c r="K3376" s="4" t="s">
        <v>10774</v>
      </c>
      <c r="L3376" s="5">
        <v>31080</v>
      </c>
    </row>
    <row r="3377" spans="1:12" x14ac:dyDescent="0.25">
      <c r="A3377" s="3" t="s">
        <v>10327</v>
      </c>
      <c r="B3377" s="4" t="s">
        <v>10723</v>
      </c>
      <c r="C3377" s="4" t="s">
        <v>25</v>
      </c>
      <c r="D3377" s="4" t="s">
        <v>26</v>
      </c>
      <c r="E3377" s="5" t="str">
        <f>"9340069"</f>
        <v>9340069</v>
      </c>
      <c r="F3377" s="3" t="s">
        <v>10775</v>
      </c>
      <c r="G3377" s="5">
        <v>2645025067</v>
      </c>
      <c r="H3377" s="4" t="s">
        <v>10776</v>
      </c>
      <c r="I3377" s="4" t="s">
        <v>10731</v>
      </c>
      <c r="J3377" s="4" t="s">
        <v>10731</v>
      </c>
      <c r="K3377" s="4" t="s">
        <v>10777</v>
      </c>
      <c r="L3377" s="5">
        <v>31100</v>
      </c>
    </row>
    <row r="3378" spans="1:12" x14ac:dyDescent="0.25">
      <c r="A3378" s="3" t="s">
        <v>10327</v>
      </c>
      <c r="B3378" s="4" t="s">
        <v>10723</v>
      </c>
      <c r="C3378" s="4" t="s">
        <v>25</v>
      </c>
      <c r="D3378" s="4" t="s">
        <v>26</v>
      </c>
      <c r="E3378" s="5" t="str">
        <f>"9340064"</f>
        <v>9340064</v>
      </c>
      <c r="F3378" s="3" t="s">
        <v>10778</v>
      </c>
      <c r="G3378" s="5">
        <v>2645024782</v>
      </c>
      <c r="H3378" s="4" t="s">
        <v>10779</v>
      </c>
      <c r="I3378" s="4" t="s">
        <v>10731</v>
      </c>
      <c r="J3378" s="4" t="s">
        <v>10731</v>
      </c>
      <c r="K3378" s="4" t="s">
        <v>10780</v>
      </c>
      <c r="L3378" s="5">
        <v>31100</v>
      </c>
    </row>
    <row r="3379" spans="1:12" x14ac:dyDescent="0.25">
      <c r="A3379" s="3" t="s">
        <v>10327</v>
      </c>
      <c r="B3379" s="4" t="s">
        <v>10723</v>
      </c>
      <c r="C3379" s="4" t="s">
        <v>25</v>
      </c>
      <c r="D3379" s="4" t="s">
        <v>26</v>
      </c>
      <c r="E3379" s="5" t="str">
        <f>"9340080"</f>
        <v>9340080</v>
      </c>
      <c r="F3379" s="3" t="s">
        <v>10781</v>
      </c>
      <c r="G3379" s="5">
        <v>2645021208</v>
      </c>
      <c r="H3379" s="4" t="s">
        <v>10782</v>
      </c>
      <c r="I3379" s="4" t="s">
        <v>10731</v>
      </c>
      <c r="J3379" s="4" t="s">
        <v>10731</v>
      </c>
      <c r="K3379" s="4" t="s">
        <v>10733</v>
      </c>
      <c r="L3379" s="5">
        <v>31100</v>
      </c>
    </row>
    <row r="3380" spans="1:12" x14ac:dyDescent="0.25">
      <c r="A3380" s="3" t="s">
        <v>10327</v>
      </c>
      <c r="B3380" s="4" t="s">
        <v>10723</v>
      </c>
      <c r="C3380" s="4" t="s">
        <v>25</v>
      </c>
      <c r="D3380" s="4" t="s">
        <v>26</v>
      </c>
      <c r="E3380" s="5" t="str">
        <f>"9340031"</f>
        <v>9340031</v>
      </c>
      <c r="F3380" s="3" t="s">
        <v>10783</v>
      </c>
      <c r="G3380" s="5">
        <v>2645024884</v>
      </c>
      <c r="H3380" s="4" t="s">
        <v>10784</v>
      </c>
      <c r="I3380" s="4" t="s">
        <v>10731</v>
      </c>
      <c r="J3380" s="4" t="s">
        <v>10731</v>
      </c>
      <c r="K3380" s="4" t="s">
        <v>10785</v>
      </c>
      <c r="L3380" s="5">
        <v>31100</v>
      </c>
    </row>
    <row r="3381" spans="1:12" x14ac:dyDescent="0.25">
      <c r="A3381" s="3" t="s">
        <v>10786</v>
      </c>
      <c r="B3381" s="4" t="s">
        <v>10787</v>
      </c>
      <c r="C3381" s="4" t="s">
        <v>25</v>
      </c>
      <c r="D3381" s="4" t="s">
        <v>26</v>
      </c>
      <c r="E3381" s="5" t="str">
        <f>"9190872"</f>
        <v>9190872</v>
      </c>
      <c r="F3381" s="3" t="s">
        <v>10788</v>
      </c>
      <c r="G3381" s="5">
        <v>2310455141</v>
      </c>
      <c r="H3381" s="4" t="s">
        <v>10789</v>
      </c>
      <c r="I3381" s="4" t="s">
        <v>10790</v>
      </c>
      <c r="J3381" s="4" t="s">
        <v>10791</v>
      </c>
      <c r="K3381" s="4" t="s">
        <v>10792</v>
      </c>
      <c r="L3381" s="5">
        <v>55132</v>
      </c>
    </row>
    <row r="3382" spans="1:12" x14ac:dyDescent="0.25">
      <c r="A3382" s="3" t="s">
        <v>10786</v>
      </c>
      <c r="B3382" s="4" t="s">
        <v>10787</v>
      </c>
      <c r="C3382" s="4" t="s">
        <v>25</v>
      </c>
      <c r="D3382" s="4" t="s">
        <v>26</v>
      </c>
      <c r="E3382" s="5" t="str">
        <f>"9190844"</f>
        <v>9190844</v>
      </c>
      <c r="F3382" s="3" t="s">
        <v>10793</v>
      </c>
      <c r="G3382" s="5">
        <v>2310481337</v>
      </c>
      <c r="H3382" s="4" t="s">
        <v>10794</v>
      </c>
      <c r="I3382" s="4" t="s">
        <v>10790</v>
      </c>
      <c r="J3382" s="4" t="s">
        <v>10791</v>
      </c>
      <c r="K3382" s="4" t="s">
        <v>10795</v>
      </c>
      <c r="L3382" s="5">
        <v>55134</v>
      </c>
    </row>
    <row r="3383" spans="1:12" x14ac:dyDescent="0.25">
      <c r="A3383" s="3" t="s">
        <v>10786</v>
      </c>
      <c r="B3383" s="4" t="s">
        <v>10787</v>
      </c>
      <c r="C3383" s="4" t="s">
        <v>25</v>
      </c>
      <c r="D3383" s="4" t="s">
        <v>26</v>
      </c>
      <c r="E3383" s="5" t="str">
        <f>"9190871"</f>
        <v>9190871</v>
      </c>
      <c r="F3383" s="3" t="s">
        <v>10796</v>
      </c>
      <c r="G3383" s="5">
        <v>2310439196</v>
      </c>
      <c r="H3383" s="4" t="s">
        <v>10797</v>
      </c>
      <c r="I3383" s="4" t="s">
        <v>10790</v>
      </c>
      <c r="J3383" s="4" t="s">
        <v>10791</v>
      </c>
      <c r="K3383" s="4" t="s">
        <v>10798</v>
      </c>
      <c r="L3383" s="5">
        <v>55133</v>
      </c>
    </row>
    <row r="3384" spans="1:12" x14ac:dyDescent="0.25">
      <c r="A3384" s="3" t="s">
        <v>10786</v>
      </c>
      <c r="B3384" s="4" t="s">
        <v>10787</v>
      </c>
      <c r="C3384" s="4" t="s">
        <v>14</v>
      </c>
      <c r="D3384" s="4" t="s">
        <v>15</v>
      </c>
      <c r="E3384" s="5" t="str">
        <f>"9190525"</f>
        <v>9190525</v>
      </c>
      <c r="F3384" s="3" t="s">
        <v>10799</v>
      </c>
      <c r="G3384" s="5">
        <v>2310439444</v>
      </c>
      <c r="H3384" s="4" t="s">
        <v>10800</v>
      </c>
      <c r="I3384" s="4" t="s">
        <v>10790</v>
      </c>
      <c r="J3384" s="4" t="s">
        <v>10791</v>
      </c>
      <c r="K3384" s="4" t="s">
        <v>10801</v>
      </c>
      <c r="L3384" s="5">
        <v>55135</v>
      </c>
    </row>
    <row r="3385" spans="1:12" x14ac:dyDescent="0.25">
      <c r="A3385" s="3" t="s">
        <v>10786</v>
      </c>
      <c r="B3385" s="4" t="s">
        <v>10787</v>
      </c>
      <c r="C3385" s="4" t="s">
        <v>14</v>
      </c>
      <c r="D3385" s="4" t="s">
        <v>15</v>
      </c>
      <c r="E3385" s="5" t="str">
        <f>"9190335"</f>
        <v>9190335</v>
      </c>
      <c r="F3385" s="3" t="s">
        <v>10802</v>
      </c>
      <c r="G3385" s="5">
        <v>2392071211</v>
      </c>
      <c r="H3385" s="4" t="s">
        <v>10803</v>
      </c>
      <c r="I3385" s="4" t="s">
        <v>10804</v>
      </c>
      <c r="J3385" s="4" t="s">
        <v>10805</v>
      </c>
      <c r="K3385" s="4" t="s">
        <v>10806</v>
      </c>
      <c r="L3385" s="5">
        <v>57001</v>
      </c>
    </row>
    <row r="3386" spans="1:12" x14ac:dyDescent="0.25">
      <c r="A3386" s="3" t="s">
        <v>10786</v>
      </c>
      <c r="B3386" s="4" t="s">
        <v>10787</v>
      </c>
      <c r="C3386" s="4" t="s">
        <v>14</v>
      </c>
      <c r="D3386" s="4" t="s">
        <v>15</v>
      </c>
      <c r="E3386" s="5" t="str">
        <f>"9190848"</f>
        <v>9190848</v>
      </c>
      <c r="F3386" s="3" t="s">
        <v>10807</v>
      </c>
      <c r="G3386" s="5">
        <v>2310443750</v>
      </c>
      <c r="H3386" s="4" t="s">
        <v>10808</v>
      </c>
      <c r="I3386" s="4" t="s">
        <v>10790</v>
      </c>
      <c r="J3386" s="4" t="s">
        <v>10791</v>
      </c>
      <c r="K3386" s="4" t="s">
        <v>10809</v>
      </c>
      <c r="L3386" s="5">
        <v>55133</v>
      </c>
    </row>
    <row r="3387" spans="1:12" x14ac:dyDescent="0.25">
      <c r="A3387" s="3" t="s">
        <v>10786</v>
      </c>
      <c r="B3387" s="4" t="s">
        <v>10787</v>
      </c>
      <c r="C3387" s="4" t="s">
        <v>14</v>
      </c>
      <c r="D3387" s="4" t="s">
        <v>15</v>
      </c>
      <c r="E3387" s="5" t="str">
        <f>"9190086"</f>
        <v>9190086</v>
      </c>
      <c r="F3387" s="3" t="s">
        <v>10810</v>
      </c>
      <c r="G3387" s="5">
        <v>2310273371</v>
      </c>
      <c r="H3387" s="4" t="s">
        <v>10811</v>
      </c>
      <c r="I3387" s="4" t="s">
        <v>10812</v>
      </c>
      <c r="J3387" s="4" t="s">
        <v>10813</v>
      </c>
      <c r="K3387" s="4" t="s">
        <v>10814</v>
      </c>
      <c r="L3387" s="5">
        <v>54633</v>
      </c>
    </row>
    <row r="3388" spans="1:12" x14ac:dyDescent="0.25">
      <c r="A3388" s="3" t="s">
        <v>10786</v>
      </c>
      <c r="B3388" s="4" t="s">
        <v>10787</v>
      </c>
      <c r="C3388" s="4" t="s">
        <v>14</v>
      </c>
      <c r="D3388" s="4" t="s">
        <v>15</v>
      </c>
      <c r="E3388" s="5" t="str">
        <f>"9190635"</f>
        <v>9190635</v>
      </c>
      <c r="F3388" s="3" t="s">
        <v>10815</v>
      </c>
      <c r="G3388" s="5">
        <v>2310949590</v>
      </c>
      <c r="H3388" s="4" t="s">
        <v>10816</v>
      </c>
      <c r="I3388" s="4" t="s">
        <v>10812</v>
      </c>
      <c r="J3388" s="4" t="s">
        <v>10813</v>
      </c>
      <c r="K3388" s="4" t="s">
        <v>10817</v>
      </c>
      <c r="L3388" s="5">
        <v>54453</v>
      </c>
    </row>
    <row r="3389" spans="1:12" x14ac:dyDescent="0.25">
      <c r="A3389" s="3" t="s">
        <v>10786</v>
      </c>
      <c r="B3389" s="4" t="s">
        <v>10787</v>
      </c>
      <c r="C3389" s="4" t="s">
        <v>25</v>
      </c>
      <c r="D3389" s="4" t="s">
        <v>26</v>
      </c>
      <c r="E3389" s="5" t="str">
        <f>"9190446"</f>
        <v>9190446</v>
      </c>
      <c r="F3389" s="3" t="s">
        <v>10818</v>
      </c>
      <c r="G3389" s="5">
        <v>2310270307</v>
      </c>
      <c r="H3389" s="4" t="s">
        <v>10819</v>
      </c>
      <c r="I3389" s="4" t="s">
        <v>10812</v>
      </c>
      <c r="J3389" s="4" t="s">
        <v>10813</v>
      </c>
      <c r="K3389" s="4" t="s">
        <v>10820</v>
      </c>
      <c r="L3389" s="5">
        <v>54621</v>
      </c>
    </row>
    <row r="3390" spans="1:12" x14ac:dyDescent="0.25">
      <c r="A3390" s="3" t="s">
        <v>10786</v>
      </c>
      <c r="B3390" s="4" t="s">
        <v>10787</v>
      </c>
      <c r="C3390" s="4" t="s">
        <v>14</v>
      </c>
      <c r="D3390" s="4" t="s">
        <v>15</v>
      </c>
      <c r="E3390" s="5" t="str">
        <f>"9190195"</f>
        <v>9190195</v>
      </c>
      <c r="F3390" s="3" t="s">
        <v>10821</v>
      </c>
      <c r="G3390" s="5">
        <v>2310358672</v>
      </c>
      <c r="H3390" s="4" t="s">
        <v>10822</v>
      </c>
      <c r="I3390" s="4" t="s">
        <v>10823</v>
      </c>
      <c r="J3390" s="4" t="s">
        <v>10824</v>
      </c>
      <c r="K3390" s="4" t="s">
        <v>10825</v>
      </c>
      <c r="L3390" s="5">
        <v>57010</v>
      </c>
    </row>
    <row r="3391" spans="1:12" x14ac:dyDescent="0.25">
      <c r="A3391" s="3" t="s">
        <v>10786</v>
      </c>
      <c r="B3391" s="4" t="s">
        <v>10787</v>
      </c>
      <c r="C3391" s="4" t="s">
        <v>25</v>
      </c>
      <c r="D3391" s="4" t="s">
        <v>26</v>
      </c>
      <c r="E3391" s="5" t="str">
        <f>"9190448"</f>
        <v>9190448</v>
      </c>
      <c r="F3391" s="3" t="s">
        <v>10826</v>
      </c>
      <c r="G3391" s="5">
        <v>2310272760</v>
      </c>
      <c r="H3391" s="4" t="s">
        <v>10827</v>
      </c>
      <c r="I3391" s="4" t="s">
        <v>10812</v>
      </c>
      <c r="J3391" s="4" t="s">
        <v>10813</v>
      </c>
      <c r="K3391" s="4" t="s">
        <v>10828</v>
      </c>
      <c r="L3391" s="5">
        <v>54622</v>
      </c>
    </row>
    <row r="3392" spans="1:12" x14ac:dyDescent="0.25">
      <c r="A3392" s="3" t="s">
        <v>10786</v>
      </c>
      <c r="B3392" s="4" t="s">
        <v>10787</v>
      </c>
      <c r="C3392" s="4" t="s">
        <v>14</v>
      </c>
      <c r="D3392" s="4" t="s">
        <v>15</v>
      </c>
      <c r="E3392" s="5" t="str">
        <f>"9190354"</f>
        <v>9190354</v>
      </c>
      <c r="F3392" s="3" t="s">
        <v>10829</v>
      </c>
      <c r="G3392" s="5">
        <v>2310461221</v>
      </c>
      <c r="H3392" s="4" t="s">
        <v>10830</v>
      </c>
      <c r="I3392" s="4" t="s">
        <v>10804</v>
      </c>
      <c r="J3392" s="4" t="s">
        <v>10831</v>
      </c>
      <c r="K3392" s="4" t="s">
        <v>10832</v>
      </c>
      <c r="L3392" s="5">
        <v>57001</v>
      </c>
    </row>
    <row r="3393" spans="1:12" x14ac:dyDescent="0.25">
      <c r="A3393" s="3" t="s">
        <v>10786</v>
      </c>
      <c r="B3393" s="4" t="s">
        <v>10787</v>
      </c>
      <c r="C3393" s="4" t="s">
        <v>14</v>
      </c>
      <c r="D3393" s="4" t="s">
        <v>15</v>
      </c>
      <c r="E3393" s="5" t="str">
        <f>"9190059"</f>
        <v>9190059</v>
      </c>
      <c r="F3393" s="3" t="s">
        <v>10833</v>
      </c>
      <c r="G3393" s="5">
        <v>2310300714</v>
      </c>
      <c r="H3393" s="4" t="s">
        <v>10834</v>
      </c>
      <c r="I3393" s="4" t="s">
        <v>10823</v>
      </c>
      <c r="J3393" s="4" t="s">
        <v>10835</v>
      </c>
      <c r="K3393" s="4" t="s">
        <v>10836</v>
      </c>
      <c r="L3393" s="5">
        <v>55535</v>
      </c>
    </row>
    <row r="3394" spans="1:12" x14ac:dyDescent="0.25">
      <c r="A3394" s="3" t="s">
        <v>10786</v>
      </c>
      <c r="B3394" s="4" t="s">
        <v>10787</v>
      </c>
      <c r="C3394" s="4" t="s">
        <v>25</v>
      </c>
      <c r="D3394" s="4" t="s">
        <v>26</v>
      </c>
      <c r="E3394" s="5" t="str">
        <f>"9190451"</f>
        <v>9190451</v>
      </c>
      <c r="F3394" s="3" t="s">
        <v>10837</v>
      </c>
      <c r="G3394" s="5">
        <v>2310271637</v>
      </c>
      <c r="H3394" s="4" t="s">
        <v>10838</v>
      </c>
      <c r="I3394" s="4" t="s">
        <v>10812</v>
      </c>
      <c r="J3394" s="4" t="s">
        <v>10813</v>
      </c>
      <c r="K3394" s="4" t="s">
        <v>10839</v>
      </c>
      <c r="L3394" s="5">
        <v>54633</v>
      </c>
    </row>
    <row r="3395" spans="1:12" x14ac:dyDescent="0.25">
      <c r="A3395" s="3" t="s">
        <v>10786</v>
      </c>
      <c r="B3395" s="4" t="s">
        <v>10787</v>
      </c>
      <c r="C3395" s="4" t="s">
        <v>14</v>
      </c>
      <c r="D3395" s="4" t="s">
        <v>15</v>
      </c>
      <c r="E3395" s="5" t="str">
        <f>"9190909"</f>
        <v>9190909</v>
      </c>
      <c r="F3395" s="3" t="s">
        <v>10840</v>
      </c>
      <c r="G3395" s="5">
        <v>2310464521</v>
      </c>
      <c r="H3395" s="4" t="s">
        <v>10841</v>
      </c>
      <c r="I3395" s="4" t="s">
        <v>10804</v>
      </c>
      <c r="J3395" s="4" t="s">
        <v>10842</v>
      </c>
      <c r="K3395" s="4" t="s">
        <v>10843</v>
      </c>
      <c r="L3395" s="5">
        <v>57001</v>
      </c>
    </row>
    <row r="3396" spans="1:12" x14ac:dyDescent="0.25">
      <c r="A3396" s="3" t="s">
        <v>10786</v>
      </c>
      <c r="B3396" s="4" t="s">
        <v>10787</v>
      </c>
      <c r="C3396" s="4" t="s">
        <v>14</v>
      </c>
      <c r="D3396" s="4" t="s">
        <v>15</v>
      </c>
      <c r="E3396" s="5" t="str">
        <f>"9190732"</f>
        <v>9190732</v>
      </c>
      <c r="F3396" s="3" t="s">
        <v>10844</v>
      </c>
      <c r="G3396" s="5">
        <v>2310928783</v>
      </c>
      <c r="H3396" s="4" t="s">
        <v>10845</v>
      </c>
      <c r="I3396" s="4" t="s">
        <v>10812</v>
      </c>
      <c r="J3396" s="4" t="s">
        <v>10813</v>
      </c>
      <c r="K3396" s="4" t="s">
        <v>10846</v>
      </c>
      <c r="L3396" s="5">
        <v>54454</v>
      </c>
    </row>
    <row r="3397" spans="1:12" x14ac:dyDescent="0.25">
      <c r="A3397" s="3" t="s">
        <v>10786</v>
      </c>
      <c r="B3397" s="4" t="s">
        <v>10787</v>
      </c>
      <c r="C3397" s="4" t="s">
        <v>14</v>
      </c>
      <c r="D3397" s="4" t="s">
        <v>15</v>
      </c>
      <c r="E3397" s="5" t="str">
        <f>"9190421"</f>
        <v>9190421</v>
      </c>
      <c r="F3397" s="3" t="s">
        <v>10847</v>
      </c>
      <c r="G3397" s="5">
        <v>2310840150</v>
      </c>
      <c r="H3397" s="4" t="s">
        <v>10848</v>
      </c>
      <c r="I3397" s="4" t="s">
        <v>10812</v>
      </c>
      <c r="J3397" s="4" t="s">
        <v>10813</v>
      </c>
      <c r="K3397" s="4" t="s">
        <v>10849</v>
      </c>
      <c r="L3397" s="5">
        <v>54644</v>
      </c>
    </row>
    <row r="3398" spans="1:12" x14ac:dyDescent="0.25">
      <c r="A3398" s="3" t="s">
        <v>10786</v>
      </c>
      <c r="B3398" s="4" t="s">
        <v>10787</v>
      </c>
      <c r="C3398" s="4" t="s">
        <v>14</v>
      </c>
      <c r="D3398" s="4" t="s">
        <v>15</v>
      </c>
      <c r="E3398" s="5" t="str">
        <f>"9190009"</f>
        <v>9190009</v>
      </c>
      <c r="F3398" s="3" t="s">
        <v>10850</v>
      </c>
      <c r="G3398" s="5">
        <v>2310831344</v>
      </c>
      <c r="H3398" s="4" t="s">
        <v>10851</v>
      </c>
      <c r="I3398" s="4" t="s">
        <v>10812</v>
      </c>
      <c r="J3398" s="4" t="s">
        <v>10813</v>
      </c>
      <c r="K3398" s="4" t="s">
        <v>10852</v>
      </c>
      <c r="L3398" s="5">
        <v>54248</v>
      </c>
    </row>
    <row r="3399" spans="1:12" x14ac:dyDescent="0.25">
      <c r="A3399" s="3" t="s">
        <v>10786</v>
      </c>
      <c r="B3399" s="4" t="s">
        <v>10787</v>
      </c>
      <c r="C3399" s="4" t="s">
        <v>14</v>
      </c>
      <c r="D3399" s="4" t="s">
        <v>15</v>
      </c>
      <c r="E3399" s="5" t="str">
        <f>"9190023"</f>
        <v>9190023</v>
      </c>
      <c r="F3399" s="3" t="s">
        <v>10853</v>
      </c>
      <c r="G3399" s="5">
        <v>2310411743</v>
      </c>
      <c r="H3399" s="4" t="s">
        <v>10854</v>
      </c>
      <c r="I3399" s="4" t="s">
        <v>10790</v>
      </c>
      <c r="J3399" s="4" t="s">
        <v>10791</v>
      </c>
      <c r="K3399" s="4" t="s">
        <v>10855</v>
      </c>
      <c r="L3399" s="5">
        <v>55131</v>
      </c>
    </row>
    <row r="3400" spans="1:12" x14ac:dyDescent="0.25">
      <c r="A3400" s="3" t="s">
        <v>10786</v>
      </c>
      <c r="B3400" s="4" t="s">
        <v>10787</v>
      </c>
      <c r="C3400" s="4" t="s">
        <v>14</v>
      </c>
      <c r="D3400" s="4" t="s">
        <v>15</v>
      </c>
      <c r="E3400" s="5" t="str">
        <f>"9190875"</f>
        <v>9190875</v>
      </c>
      <c r="F3400" s="3" t="s">
        <v>10856</v>
      </c>
      <c r="G3400" s="5">
        <v>2310429840</v>
      </c>
      <c r="H3400" s="4" t="s">
        <v>10857</v>
      </c>
      <c r="I3400" s="4" t="s">
        <v>10790</v>
      </c>
      <c r="J3400" s="4" t="s">
        <v>10791</v>
      </c>
      <c r="K3400" s="4" t="s">
        <v>10858</v>
      </c>
      <c r="L3400" s="5">
        <v>55133</v>
      </c>
    </row>
    <row r="3401" spans="1:12" x14ac:dyDescent="0.25">
      <c r="A3401" s="3" t="s">
        <v>10786</v>
      </c>
      <c r="B3401" s="4" t="s">
        <v>10787</v>
      </c>
      <c r="C3401" s="4" t="s">
        <v>14</v>
      </c>
      <c r="D3401" s="4" t="s">
        <v>15</v>
      </c>
      <c r="E3401" s="5" t="str">
        <f>"9190186"</f>
        <v>9190186</v>
      </c>
      <c r="F3401" s="3" t="s">
        <v>10859</v>
      </c>
      <c r="G3401" s="5">
        <v>2310623318</v>
      </c>
      <c r="H3401" s="4" t="s">
        <v>10860</v>
      </c>
      <c r="I3401" s="4" t="s">
        <v>10812</v>
      </c>
      <c r="J3401" s="4" t="s">
        <v>10813</v>
      </c>
      <c r="K3401" s="4" t="s">
        <v>10861</v>
      </c>
      <c r="L3401" s="5">
        <v>54632</v>
      </c>
    </row>
    <row r="3402" spans="1:12" x14ac:dyDescent="0.25">
      <c r="A3402" s="3" t="s">
        <v>10786</v>
      </c>
      <c r="B3402" s="4" t="s">
        <v>10787</v>
      </c>
      <c r="C3402" s="4" t="s">
        <v>25</v>
      </c>
      <c r="D3402" s="4" t="s">
        <v>26</v>
      </c>
      <c r="E3402" s="5" t="str">
        <f>"9190924"</f>
        <v>9190924</v>
      </c>
      <c r="F3402" s="3" t="s">
        <v>10862</v>
      </c>
      <c r="G3402" s="5">
        <v>2310346070</v>
      </c>
      <c r="H3402" s="4" t="s">
        <v>10863</v>
      </c>
      <c r="I3402" s="4" t="s">
        <v>10823</v>
      </c>
      <c r="J3402" s="4" t="s">
        <v>10864</v>
      </c>
      <c r="K3402" s="4" t="s">
        <v>10865</v>
      </c>
      <c r="L3402" s="5">
        <v>55236</v>
      </c>
    </row>
    <row r="3403" spans="1:12" ht="30" x14ac:dyDescent="0.25">
      <c r="A3403" s="3" t="s">
        <v>10786</v>
      </c>
      <c r="B3403" s="4" t="s">
        <v>10787</v>
      </c>
      <c r="C3403" s="4" t="s">
        <v>14</v>
      </c>
      <c r="D3403" s="4" t="s">
        <v>15</v>
      </c>
      <c r="E3403" s="5" t="str">
        <f>"9190021"</f>
        <v>9190021</v>
      </c>
      <c r="F3403" s="3" t="s">
        <v>10866</v>
      </c>
      <c r="G3403" s="5">
        <v>2310432740</v>
      </c>
      <c r="H3403" s="4" t="s">
        <v>10867</v>
      </c>
      <c r="I3403" s="4" t="s">
        <v>10790</v>
      </c>
      <c r="J3403" s="4" t="s">
        <v>10791</v>
      </c>
      <c r="K3403" s="4" t="s">
        <v>10868</v>
      </c>
      <c r="L3403" s="5">
        <v>55133</v>
      </c>
    </row>
    <row r="3404" spans="1:12" x14ac:dyDescent="0.25">
      <c r="A3404" s="3" t="s">
        <v>10786</v>
      </c>
      <c r="B3404" s="4" t="s">
        <v>10787</v>
      </c>
      <c r="C3404" s="4" t="s">
        <v>14</v>
      </c>
      <c r="D3404" s="4" t="s">
        <v>15</v>
      </c>
      <c r="E3404" s="5" t="str">
        <f>"9190636"</f>
        <v>9190636</v>
      </c>
      <c r="F3404" s="3" t="s">
        <v>10869</v>
      </c>
      <c r="G3404" s="5">
        <v>2310929844</v>
      </c>
      <c r="H3404" s="4" t="s">
        <v>10870</v>
      </c>
      <c r="I3404" s="4" t="s">
        <v>10812</v>
      </c>
      <c r="J3404" s="4" t="s">
        <v>10813</v>
      </c>
      <c r="K3404" s="4" t="s">
        <v>10871</v>
      </c>
      <c r="L3404" s="5">
        <v>54453</v>
      </c>
    </row>
    <row r="3405" spans="1:12" ht="30" x14ac:dyDescent="0.25">
      <c r="A3405" s="3" t="s">
        <v>10786</v>
      </c>
      <c r="B3405" s="4" t="s">
        <v>10787</v>
      </c>
      <c r="C3405" s="4" t="s">
        <v>14</v>
      </c>
      <c r="D3405" s="4" t="s">
        <v>15</v>
      </c>
      <c r="E3405" s="5" t="str">
        <f>"9190175"</f>
        <v>9190175</v>
      </c>
      <c r="F3405" s="3" t="s">
        <v>10872</v>
      </c>
      <c r="G3405" s="5">
        <v>2310275695</v>
      </c>
      <c r="H3405" s="4" t="s">
        <v>10873</v>
      </c>
      <c r="I3405" s="4" t="s">
        <v>10812</v>
      </c>
      <c r="J3405" s="4" t="s">
        <v>10813</v>
      </c>
      <c r="K3405" s="4" t="s">
        <v>10874</v>
      </c>
      <c r="L3405" s="5">
        <v>54635</v>
      </c>
    </row>
    <row r="3406" spans="1:12" x14ac:dyDescent="0.25">
      <c r="A3406" s="3" t="s">
        <v>10786</v>
      </c>
      <c r="B3406" s="4" t="s">
        <v>10787</v>
      </c>
      <c r="C3406" s="4" t="s">
        <v>14</v>
      </c>
      <c r="D3406" s="4" t="s">
        <v>15</v>
      </c>
      <c r="E3406" s="5" t="str">
        <f>"9190056"</f>
        <v>9190056</v>
      </c>
      <c r="F3406" s="3" t="s">
        <v>10875</v>
      </c>
      <c r="G3406" s="5">
        <v>2310303459</v>
      </c>
      <c r="H3406" s="4" t="s">
        <v>10876</v>
      </c>
      <c r="I3406" s="4" t="s">
        <v>10812</v>
      </c>
      <c r="J3406" s="4" t="s">
        <v>10813</v>
      </c>
      <c r="K3406" s="4" t="s">
        <v>10877</v>
      </c>
      <c r="L3406" s="5">
        <v>54250</v>
      </c>
    </row>
    <row r="3407" spans="1:12" x14ac:dyDescent="0.25">
      <c r="A3407" s="3" t="s">
        <v>10786</v>
      </c>
      <c r="B3407" s="4" t="s">
        <v>10787</v>
      </c>
      <c r="C3407" s="4" t="s">
        <v>14</v>
      </c>
      <c r="D3407" s="4" t="s">
        <v>15</v>
      </c>
      <c r="E3407" s="5" t="str">
        <f>"9190148"</f>
        <v>9190148</v>
      </c>
      <c r="F3407" s="3" t="s">
        <v>10878</v>
      </c>
      <c r="G3407" s="5">
        <v>2310514030</v>
      </c>
      <c r="H3407" s="4" t="s">
        <v>10879</v>
      </c>
      <c r="I3407" s="4" t="s">
        <v>10812</v>
      </c>
      <c r="J3407" s="4" t="s">
        <v>10813</v>
      </c>
      <c r="K3407" s="4" t="s">
        <v>10880</v>
      </c>
      <c r="L3407" s="5">
        <v>54629</v>
      </c>
    </row>
    <row r="3408" spans="1:12" x14ac:dyDescent="0.25">
      <c r="A3408" s="3" t="s">
        <v>10786</v>
      </c>
      <c r="B3408" s="4" t="s">
        <v>10787</v>
      </c>
      <c r="C3408" s="4" t="s">
        <v>14</v>
      </c>
      <c r="D3408" s="4" t="s">
        <v>15</v>
      </c>
      <c r="E3408" s="5" t="str">
        <f>"9190550"</f>
        <v>9190550</v>
      </c>
      <c r="F3408" s="3" t="s">
        <v>10881</v>
      </c>
      <c r="G3408" s="5">
        <v>2310435133</v>
      </c>
      <c r="H3408" s="4" t="s">
        <v>10882</v>
      </c>
      <c r="I3408" s="4" t="s">
        <v>10790</v>
      </c>
      <c r="J3408" s="4" t="s">
        <v>10791</v>
      </c>
      <c r="K3408" s="4" t="s">
        <v>10883</v>
      </c>
      <c r="L3408" s="5">
        <v>55132</v>
      </c>
    </row>
    <row r="3409" spans="1:12" x14ac:dyDescent="0.25">
      <c r="A3409" s="3" t="s">
        <v>10786</v>
      </c>
      <c r="B3409" s="4" t="s">
        <v>10787</v>
      </c>
      <c r="C3409" s="4" t="s">
        <v>14</v>
      </c>
      <c r="D3409" s="4" t="s">
        <v>15</v>
      </c>
      <c r="E3409" s="5" t="str">
        <f>"9190032"</f>
        <v>9190032</v>
      </c>
      <c r="F3409" s="3" t="s">
        <v>10884</v>
      </c>
      <c r="G3409" s="5">
        <v>2310433980</v>
      </c>
      <c r="H3409" s="4" t="s">
        <v>10885</v>
      </c>
      <c r="I3409" s="4" t="s">
        <v>10790</v>
      </c>
      <c r="J3409" s="4" t="s">
        <v>10791</v>
      </c>
      <c r="K3409" s="4" t="s">
        <v>10886</v>
      </c>
      <c r="L3409" s="5">
        <v>55134</v>
      </c>
    </row>
    <row r="3410" spans="1:12" x14ac:dyDescent="0.25">
      <c r="A3410" s="3" t="s">
        <v>10786</v>
      </c>
      <c r="B3410" s="4" t="s">
        <v>10787</v>
      </c>
      <c r="C3410" s="4" t="s">
        <v>14</v>
      </c>
      <c r="D3410" s="4" t="s">
        <v>15</v>
      </c>
      <c r="E3410" s="5" t="str">
        <f>"9190019"</f>
        <v>9190019</v>
      </c>
      <c r="F3410" s="3" t="s">
        <v>10887</v>
      </c>
      <c r="G3410" s="5">
        <v>2310411810</v>
      </c>
      <c r="H3410" s="4" t="s">
        <v>10888</v>
      </c>
      <c r="I3410" s="4" t="s">
        <v>10790</v>
      </c>
      <c r="J3410" s="4" t="s">
        <v>10791</v>
      </c>
      <c r="K3410" s="4" t="s">
        <v>10889</v>
      </c>
      <c r="L3410" s="5">
        <v>55131</v>
      </c>
    </row>
    <row r="3411" spans="1:12" x14ac:dyDescent="0.25">
      <c r="A3411" s="3" t="s">
        <v>10786</v>
      </c>
      <c r="B3411" s="4" t="s">
        <v>10787</v>
      </c>
      <c r="C3411" s="4" t="s">
        <v>25</v>
      </c>
      <c r="D3411" s="4" t="s">
        <v>26</v>
      </c>
      <c r="E3411" s="5" t="str">
        <f>"9190133"</f>
        <v>9190133</v>
      </c>
      <c r="F3411" s="3" t="s">
        <v>10890</v>
      </c>
      <c r="G3411" s="5">
        <v>2310535553</v>
      </c>
      <c r="H3411" s="4" t="s">
        <v>10891</v>
      </c>
      <c r="I3411" s="4" t="s">
        <v>10812</v>
      </c>
      <c r="J3411" s="4" t="s">
        <v>10813</v>
      </c>
      <c r="K3411" s="4" t="s">
        <v>10892</v>
      </c>
      <c r="L3411" s="5">
        <v>54630</v>
      </c>
    </row>
    <row r="3412" spans="1:12" x14ac:dyDescent="0.25">
      <c r="A3412" s="3" t="s">
        <v>10786</v>
      </c>
      <c r="B3412" s="4" t="s">
        <v>10787</v>
      </c>
      <c r="C3412" s="4" t="s">
        <v>14</v>
      </c>
      <c r="D3412" s="4" t="s">
        <v>15</v>
      </c>
      <c r="E3412" s="5" t="str">
        <f>"9190787"</f>
        <v>9190787</v>
      </c>
      <c r="F3412" s="3" t="s">
        <v>10893</v>
      </c>
      <c r="G3412" s="5">
        <v>2310434345</v>
      </c>
      <c r="H3412" s="4" t="s">
        <v>10894</v>
      </c>
      <c r="I3412" s="4" t="s">
        <v>10790</v>
      </c>
      <c r="J3412" s="4" t="s">
        <v>10791</v>
      </c>
      <c r="K3412" s="4" t="s">
        <v>10895</v>
      </c>
      <c r="L3412" s="5">
        <v>55134</v>
      </c>
    </row>
    <row r="3413" spans="1:12" x14ac:dyDescent="0.25">
      <c r="A3413" s="3" t="s">
        <v>10786</v>
      </c>
      <c r="B3413" s="4" t="s">
        <v>10787</v>
      </c>
      <c r="C3413" s="4" t="s">
        <v>14</v>
      </c>
      <c r="D3413" s="4" t="s">
        <v>15</v>
      </c>
      <c r="E3413" s="5" t="str">
        <f>"9190370"</f>
        <v>9190370</v>
      </c>
      <c r="F3413" s="3" t="s">
        <v>10896</v>
      </c>
      <c r="G3413" s="5">
        <v>2392022544</v>
      </c>
      <c r="H3413" s="4" t="s">
        <v>10897</v>
      </c>
      <c r="I3413" s="4" t="s">
        <v>10898</v>
      </c>
      <c r="J3413" s="4" t="s">
        <v>10899</v>
      </c>
      <c r="K3413" s="4" t="s">
        <v>10900</v>
      </c>
      <c r="L3413" s="5">
        <v>57019</v>
      </c>
    </row>
    <row r="3414" spans="1:12" x14ac:dyDescent="0.25">
      <c r="A3414" s="3" t="s">
        <v>10786</v>
      </c>
      <c r="B3414" s="4" t="s">
        <v>10787</v>
      </c>
      <c r="C3414" s="4" t="s">
        <v>14</v>
      </c>
      <c r="D3414" s="4" t="s">
        <v>15</v>
      </c>
      <c r="E3414" s="5" t="str">
        <f>"9190140"</f>
        <v>9190140</v>
      </c>
      <c r="F3414" s="3" t="s">
        <v>10901</v>
      </c>
      <c r="G3414" s="5">
        <v>2310524556</v>
      </c>
      <c r="H3414" s="4" t="s">
        <v>10902</v>
      </c>
      <c r="I3414" s="4" t="s">
        <v>10812</v>
      </c>
      <c r="J3414" s="4" t="s">
        <v>10813</v>
      </c>
      <c r="K3414" s="4" t="s">
        <v>10892</v>
      </c>
      <c r="L3414" s="5">
        <v>54630</v>
      </c>
    </row>
    <row r="3415" spans="1:12" x14ac:dyDescent="0.25">
      <c r="A3415" s="3" t="s">
        <v>10786</v>
      </c>
      <c r="B3415" s="4" t="s">
        <v>10787</v>
      </c>
      <c r="C3415" s="4" t="s">
        <v>14</v>
      </c>
      <c r="D3415" s="4" t="s">
        <v>15</v>
      </c>
      <c r="E3415" s="5" t="str">
        <f>"9190144"</f>
        <v>9190144</v>
      </c>
      <c r="F3415" s="3" t="s">
        <v>10903</v>
      </c>
      <c r="G3415" s="5">
        <v>2310517009</v>
      </c>
      <c r="H3415" s="4" t="s">
        <v>10904</v>
      </c>
      <c r="I3415" s="4" t="s">
        <v>10812</v>
      </c>
      <c r="J3415" s="4" t="s">
        <v>10813</v>
      </c>
      <c r="K3415" s="4" t="s">
        <v>10905</v>
      </c>
      <c r="L3415" s="5">
        <v>54627</v>
      </c>
    </row>
    <row r="3416" spans="1:12" x14ac:dyDescent="0.25">
      <c r="A3416" s="3" t="s">
        <v>10786</v>
      </c>
      <c r="B3416" s="4" t="s">
        <v>10787</v>
      </c>
      <c r="C3416" s="4" t="s">
        <v>25</v>
      </c>
      <c r="D3416" s="4" t="s">
        <v>26</v>
      </c>
      <c r="E3416" s="5" t="str">
        <f>"9190450"</f>
        <v>9190450</v>
      </c>
      <c r="F3416" s="3" t="s">
        <v>10906</v>
      </c>
      <c r="G3416" s="5">
        <v>2310319173</v>
      </c>
      <c r="H3416" s="4" t="s">
        <v>10907</v>
      </c>
      <c r="I3416" s="4" t="s">
        <v>10823</v>
      </c>
      <c r="J3416" s="4" t="s">
        <v>10835</v>
      </c>
      <c r="K3416" s="4" t="s">
        <v>10908</v>
      </c>
      <c r="L3416" s="5">
        <v>54250</v>
      </c>
    </row>
    <row r="3417" spans="1:12" x14ac:dyDescent="0.25">
      <c r="A3417" s="3" t="s">
        <v>10786</v>
      </c>
      <c r="B3417" s="4" t="s">
        <v>10787</v>
      </c>
      <c r="C3417" s="4" t="s">
        <v>25</v>
      </c>
      <c r="D3417" s="4" t="s">
        <v>26</v>
      </c>
      <c r="E3417" s="5" t="str">
        <f>"9190135"</f>
        <v>9190135</v>
      </c>
      <c r="F3417" s="3" t="s">
        <v>10909</v>
      </c>
      <c r="G3417" s="5">
        <v>2310519781</v>
      </c>
      <c r="H3417" s="4" t="s">
        <v>10910</v>
      </c>
      <c r="I3417" s="4" t="s">
        <v>10812</v>
      </c>
      <c r="J3417" s="4" t="s">
        <v>10813</v>
      </c>
      <c r="K3417" s="4" t="s">
        <v>10911</v>
      </c>
      <c r="L3417" s="5">
        <v>54629</v>
      </c>
    </row>
    <row r="3418" spans="1:12" x14ac:dyDescent="0.25">
      <c r="A3418" s="3" t="s">
        <v>10786</v>
      </c>
      <c r="B3418" s="4" t="s">
        <v>10787</v>
      </c>
      <c r="C3418" s="4" t="s">
        <v>25</v>
      </c>
      <c r="D3418" s="4" t="s">
        <v>26</v>
      </c>
      <c r="E3418" s="5" t="str">
        <f>"9190136"</f>
        <v>9190136</v>
      </c>
      <c r="F3418" s="3" t="s">
        <v>10912</v>
      </c>
      <c r="G3418" s="5">
        <v>2310517008</v>
      </c>
      <c r="H3418" s="4" t="s">
        <v>10913</v>
      </c>
      <c r="I3418" s="4" t="s">
        <v>10812</v>
      </c>
      <c r="J3418" s="4" t="s">
        <v>10813</v>
      </c>
      <c r="K3418" s="4" t="s">
        <v>10914</v>
      </c>
      <c r="L3418" s="5">
        <v>54627</v>
      </c>
    </row>
    <row r="3419" spans="1:12" x14ac:dyDescent="0.25">
      <c r="A3419" s="3" t="s">
        <v>10786</v>
      </c>
      <c r="B3419" s="4" t="s">
        <v>10787</v>
      </c>
      <c r="C3419" s="4" t="s">
        <v>14</v>
      </c>
      <c r="D3419" s="4" t="s">
        <v>15</v>
      </c>
      <c r="E3419" s="5" t="str">
        <f>"9190033"</f>
        <v>9190033</v>
      </c>
      <c r="F3419" s="3" t="s">
        <v>10915</v>
      </c>
      <c r="G3419" s="5">
        <v>2310472236</v>
      </c>
      <c r="H3419" s="4" t="s">
        <v>10916</v>
      </c>
      <c r="I3419" s="4" t="s">
        <v>10790</v>
      </c>
      <c r="J3419" s="4" t="s">
        <v>10791</v>
      </c>
      <c r="K3419" s="4" t="s">
        <v>10917</v>
      </c>
      <c r="L3419" s="5">
        <v>55134</v>
      </c>
    </row>
    <row r="3420" spans="1:12" x14ac:dyDescent="0.25">
      <c r="A3420" s="3" t="s">
        <v>10786</v>
      </c>
      <c r="B3420" s="4" t="s">
        <v>10787</v>
      </c>
      <c r="C3420" s="4" t="s">
        <v>25</v>
      </c>
      <c r="D3420" s="4" t="s">
        <v>26</v>
      </c>
      <c r="E3420" s="5" t="str">
        <f>"9190061"</f>
        <v>9190061</v>
      </c>
      <c r="F3420" s="3" t="s">
        <v>10918</v>
      </c>
      <c r="G3420" s="5">
        <v>2310301800</v>
      </c>
      <c r="H3420" s="4" t="s">
        <v>10919</v>
      </c>
      <c r="I3420" s="4" t="s">
        <v>10823</v>
      </c>
      <c r="J3420" s="4" t="s">
        <v>10835</v>
      </c>
      <c r="K3420" s="4" t="s">
        <v>10920</v>
      </c>
      <c r="L3420" s="5">
        <v>55535</v>
      </c>
    </row>
    <row r="3421" spans="1:12" x14ac:dyDescent="0.25">
      <c r="A3421" s="3" t="s">
        <v>10786</v>
      </c>
      <c r="B3421" s="4" t="s">
        <v>10787</v>
      </c>
      <c r="C3421" s="4" t="s">
        <v>14</v>
      </c>
      <c r="D3421" s="4" t="s">
        <v>15</v>
      </c>
      <c r="E3421" s="5" t="str">
        <f>"9190147"</f>
        <v>9190147</v>
      </c>
      <c r="F3421" s="3" t="s">
        <v>10921</v>
      </c>
      <c r="G3421" s="5">
        <v>2310514648</v>
      </c>
      <c r="H3421" s="4" t="s">
        <v>10922</v>
      </c>
      <c r="I3421" s="4" t="s">
        <v>10812</v>
      </c>
      <c r="J3421" s="4" t="s">
        <v>10813</v>
      </c>
      <c r="K3421" s="4" t="s">
        <v>10923</v>
      </c>
      <c r="L3421" s="5">
        <v>54629</v>
      </c>
    </row>
    <row r="3422" spans="1:12" x14ac:dyDescent="0.25">
      <c r="A3422" s="3" t="s">
        <v>10786</v>
      </c>
      <c r="B3422" s="4" t="s">
        <v>10787</v>
      </c>
      <c r="C3422" s="4" t="s">
        <v>14</v>
      </c>
      <c r="D3422" s="4" t="s">
        <v>15</v>
      </c>
      <c r="E3422" s="5" t="str">
        <f>"9190020"</f>
        <v>9190020</v>
      </c>
      <c r="F3422" s="3" t="s">
        <v>10924</v>
      </c>
      <c r="G3422" s="5">
        <v>2310432386</v>
      </c>
      <c r="H3422" s="4" t="s">
        <v>10925</v>
      </c>
      <c r="I3422" s="4" t="s">
        <v>10790</v>
      </c>
      <c r="J3422" s="4" t="s">
        <v>10791</v>
      </c>
      <c r="K3422" s="4" t="s">
        <v>10926</v>
      </c>
      <c r="L3422" s="5">
        <v>55132</v>
      </c>
    </row>
    <row r="3423" spans="1:12" x14ac:dyDescent="0.25">
      <c r="A3423" s="3" t="s">
        <v>10786</v>
      </c>
      <c r="B3423" s="4" t="s">
        <v>10787</v>
      </c>
      <c r="C3423" s="4" t="s">
        <v>25</v>
      </c>
      <c r="D3423" s="4" t="s">
        <v>26</v>
      </c>
      <c r="E3423" s="5" t="str">
        <f>"9190702"</f>
        <v>9190702</v>
      </c>
      <c r="F3423" s="3" t="s">
        <v>10927</v>
      </c>
      <c r="G3423" s="5">
        <v>2310466973</v>
      </c>
      <c r="H3423" s="4" t="s">
        <v>10928</v>
      </c>
      <c r="I3423" s="4" t="s">
        <v>10804</v>
      </c>
      <c r="J3423" s="4" t="s">
        <v>10929</v>
      </c>
      <c r="K3423" s="4" t="s">
        <v>10930</v>
      </c>
      <c r="L3423" s="5">
        <v>57001</v>
      </c>
    </row>
    <row r="3424" spans="1:12" x14ac:dyDescent="0.25">
      <c r="A3424" s="3" t="s">
        <v>10786</v>
      </c>
      <c r="B3424" s="4" t="s">
        <v>10787</v>
      </c>
      <c r="C3424" s="4" t="s">
        <v>25</v>
      </c>
      <c r="D3424" s="4" t="s">
        <v>26</v>
      </c>
      <c r="E3424" s="5" t="str">
        <f>"9190490"</f>
        <v>9190490</v>
      </c>
      <c r="F3424" s="3" t="s">
        <v>10931</v>
      </c>
      <c r="G3424" s="5">
        <v>2316024057</v>
      </c>
      <c r="H3424" s="4" t="s">
        <v>10932</v>
      </c>
      <c r="I3424" s="4" t="s">
        <v>10812</v>
      </c>
      <c r="J3424" s="4" t="s">
        <v>10813</v>
      </c>
      <c r="K3424" s="4" t="s">
        <v>10933</v>
      </c>
      <c r="L3424" s="5">
        <v>54632</v>
      </c>
    </row>
    <row r="3425" spans="1:12" x14ac:dyDescent="0.25">
      <c r="A3425" s="3" t="s">
        <v>10786</v>
      </c>
      <c r="B3425" s="4" t="s">
        <v>10787</v>
      </c>
      <c r="C3425" s="4" t="s">
        <v>14</v>
      </c>
      <c r="D3425" s="4" t="s">
        <v>15</v>
      </c>
      <c r="E3425" s="5" t="str">
        <f>"9190851"</f>
        <v>9190851</v>
      </c>
      <c r="F3425" s="3" t="s">
        <v>10934</v>
      </c>
      <c r="G3425" s="5">
        <v>2310925168</v>
      </c>
      <c r="H3425" s="4" t="s">
        <v>10935</v>
      </c>
      <c r="I3425" s="4" t="s">
        <v>10812</v>
      </c>
      <c r="J3425" s="4" t="s">
        <v>10813</v>
      </c>
      <c r="K3425" s="4" t="s">
        <v>10936</v>
      </c>
      <c r="L3425" s="5">
        <v>54454</v>
      </c>
    </row>
    <row r="3426" spans="1:12" x14ac:dyDescent="0.25">
      <c r="A3426" s="3" t="s">
        <v>10786</v>
      </c>
      <c r="B3426" s="4" t="s">
        <v>10787</v>
      </c>
      <c r="C3426" s="4" t="s">
        <v>25</v>
      </c>
      <c r="D3426" s="4" t="s">
        <v>26</v>
      </c>
      <c r="E3426" s="5" t="str">
        <f>"9190168"</f>
        <v>9190168</v>
      </c>
      <c r="F3426" s="3" t="s">
        <v>10937</v>
      </c>
      <c r="G3426" s="5">
        <v>2310621221</v>
      </c>
      <c r="H3426" s="4" t="s">
        <v>10938</v>
      </c>
      <c r="I3426" s="4" t="s">
        <v>10812</v>
      </c>
      <c r="J3426" s="4" t="s">
        <v>10813</v>
      </c>
      <c r="K3426" s="4" t="s">
        <v>10861</v>
      </c>
      <c r="L3426" s="5">
        <v>54632</v>
      </c>
    </row>
    <row r="3427" spans="1:12" x14ac:dyDescent="0.25">
      <c r="A3427" s="3" t="s">
        <v>10786</v>
      </c>
      <c r="B3427" s="4" t="s">
        <v>10787</v>
      </c>
      <c r="C3427" s="4" t="s">
        <v>25</v>
      </c>
      <c r="D3427" s="4" t="s">
        <v>26</v>
      </c>
      <c r="E3427" s="5" t="str">
        <f>"9190743"</f>
        <v>9190743</v>
      </c>
      <c r="F3427" s="3" t="s">
        <v>10939</v>
      </c>
      <c r="G3427" s="5">
        <v>2310436414</v>
      </c>
      <c r="H3427" s="4" t="s">
        <v>10940</v>
      </c>
      <c r="I3427" s="4" t="s">
        <v>10790</v>
      </c>
      <c r="J3427" s="4" t="s">
        <v>10791</v>
      </c>
      <c r="K3427" s="4" t="s">
        <v>10941</v>
      </c>
      <c r="L3427" s="5">
        <v>55132</v>
      </c>
    </row>
    <row r="3428" spans="1:12" x14ac:dyDescent="0.25">
      <c r="A3428" s="3" t="s">
        <v>10786</v>
      </c>
      <c r="B3428" s="4" t="s">
        <v>10787</v>
      </c>
      <c r="C3428" s="4" t="s">
        <v>14</v>
      </c>
      <c r="D3428" s="4" t="s">
        <v>15</v>
      </c>
      <c r="E3428" s="5" t="str">
        <f>"9190921"</f>
        <v>9190921</v>
      </c>
      <c r="F3428" s="3" t="s">
        <v>10942</v>
      </c>
      <c r="G3428" s="5">
        <v>2310471161</v>
      </c>
      <c r="H3428" s="4" t="s">
        <v>10943</v>
      </c>
      <c r="I3428" s="4" t="s">
        <v>10804</v>
      </c>
      <c r="J3428" s="4" t="s">
        <v>10831</v>
      </c>
      <c r="K3428" s="4" t="s">
        <v>10944</v>
      </c>
      <c r="L3428" s="5">
        <v>57001</v>
      </c>
    </row>
    <row r="3429" spans="1:12" x14ac:dyDescent="0.25">
      <c r="A3429" s="3" t="s">
        <v>10786</v>
      </c>
      <c r="B3429" s="4" t="s">
        <v>10787</v>
      </c>
      <c r="C3429" s="4" t="s">
        <v>25</v>
      </c>
      <c r="D3429" s="4" t="s">
        <v>26</v>
      </c>
      <c r="E3429" s="5" t="str">
        <f>"9190461"</f>
        <v>9190461</v>
      </c>
      <c r="F3429" s="3" t="s">
        <v>10945</v>
      </c>
      <c r="G3429" s="5">
        <v>2311828759</v>
      </c>
      <c r="H3429" s="4" t="s">
        <v>10946</v>
      </c>
      <c r="I3429" s="4" t="s">
        <v>10812</v>
      </c>
      <c r="J3429" s="4" t="s">
        <v>10813</v>
      </c>
      <c r="K3429" s="4" t="s">
        <v>10947</v>
      </c>
      <c r="L3429" s="5">
        <v>54638</v>
      </c>
    </row>
    <row r="3430" spans="1:12" x14ac:dyDescent="0.25">
      <c r="A3430" s="3" t="s">
        <v>10786</v>
      </c>
      <c r="B3430" s="4" t="s">
        <v>10787</v>
      </c>
      <c r="C3430" s="4" t="s">
        <v>14</v>
      </c>
      <c r="D3430" s="4" t="s">
        <v>15</v>
      </c>
      <c r="E3430" s="5" t="str">
        <f>"9190004"</f>
        <v>9190004</v>
      </c>
      <c r="F3430" s="3" t="s">
        <v>10948</v>
      </c>
      <c r="G3430" s="5">
        <v>2310831625</v>
      </c>
      <c r="H3430" s="4" t="s">
        <v>10949</v>
      </c>
      <c r="I3430" s="4" t="s">
        <v>10812</v>
      </c>
      <c r="J3430" s="4" t="s">
        <v>10813</v>
      </c>
      <c r="K3430" s="4" t="s">
        <v>10950</v>
      </c>
      <c r="L3430" s="5">
        <v>54640</v>
      </c>
    </row>
    <row r="3431" spans="1:12" x14ac:dyDescent="0.25">
      <c r="A3431" s="3" t="s">
        <v>10786</v>
      </c>
      <c r="B3431" s="4" t="s">
        <v>10787</v>
      </c>
      <c r="C3431" s="4" t="s">
        <v>14</v>
      </c>
      <c r="D3431" s="4" t="s">
        <v>15</v>
      </c>
      <c r="E3431" s="5" t="str">
        <f>"9190017"</f>
        <v>9190017</v>
      </c>
      <c r="F3431" s="3" t="s">
        <v>10951</v>
      </c>
      <c r="G3431" s="5">
        <v>2310843229</v>
      </c>
      <c r="H3431" s="4" t="s">
        <v>10952</v>
      </c>
      <c r="I3431" s="4" t="s">
        <v>10812</v>
      </c>
      <c r="J3431" s="4" t="s">
        <v>10813</v>
      </c>
      <c r="K3431" s="4" t="s">
        <v>10953</v>
      </c>
      <c r="L3431" s="5">
        <v>54641</v>
      </c>
    </row>
    <row r="3432" spans="1:12" x14ac:dyDescent="0.25">
      <c r="A3432" s="3" t="s">
        <v>10786</v>
      </c>
      <c r="B3432" s="4" t="s">
        <v>10787</v>
      </c>
      <c r="C3432" s="4" t="s">
        <v>25</v>
      </c>
      <c r="D3432" s="4" t="s">
        <v>26</v>
      </c>
      <c r="E3432" s="5" t="str">
        <f>"9520585"</f>
        <v>9520585</v>
      </c>
      <c r="F3432" s="3" t="s">
        <v>10954</v>
      </c>
      <c r="G3432" s="5">
        <v>2310471142</v>
      </c>
      <c r="H3432" s="4" t="s">
        <v>10955</v>
      </c>
      <c r="I3432" s="4" t="s">
        <v>10804</v>
      </c>
      <c r="J3432" s="4" t="s">
        <v>10831</v>
      </c>
      <c r="K3432" s="4" t="s">
        <v>10956</v>
      </c>
      <c r="L3432" s="5">
        <v>57001</v>
      </c>
    </row>
    <row r="3433" spans="1:12" ht="30" x14ac:dyDescent="0.25">
      <c r="A3433" s="3" t="s">
        <v>10786</v>
      </c>
      <c r="B3433" s="4" t="s">
        <v>10787</v>
      </c>
      <c r="C3433" s="4" t="s">
        <v>14</v>
      </c>
      <c r="D3433" s="4" t="s">
        <v>15</v>
      </c>
      <c r="E3433" s="5" t="str">
        <f>"9190173"</f>
        <v>9190173</v>
      </c>
      <c r="F3433" s="3" t="s">
        <v>10957</v>
      </c>
      <c r="G3433" s="5">
        <v>2310472702</v>
      </c>
      <c r="H3433" s="4" t="s">
        <v>10958</v>
      </c>
      <c r="I3433" s="4" t="s">
        <v>10812</v>
      </c>
      <c r="J3433" s="4" t="s">
        <v>10813</v>
      </c>
      <c r="K3433" s="4" t="s">
        <v>10959</v>
      </c>
      <c r="L3433" s="5">
        <v>55536</v>
      </c>
    </row>
    <row r="3434" spans="1:12" x14ac:dyDescent="0.25">
      <c r="A3434" s="3" t="s">
        <v>10786</v>
      </c>
      <c r="B3434" s="4" t="s">
        <v>10787</v>
      </c>
      <c r="C3434" s="4" t="s">
        <v>25</v>
      </c>
      <c r="D3434" s="4" t="s">
        <v>26</v>
      </c>
      <c r="E3434" s="5" t="str">
        <f>"9190755"</f>
        <v>9190755</v>
      </c>
      <c r="F3434" s="3" t="s">
        <v>10960</v>
      </c>
      <c r="G3434" s="5">
        <v>2392064099</v>
      </c>
      <c r="H3434" s="4" t="s">
        <v>10961</v>
      </c>
      <c r="I3434" s="4" t="s">
        <v>10804</v>
      </c>
      <c r="J3434" s="4" t="s">
        <v>10962</v>
      </c>
      <c r="K3434" s="4" t="s">
        <v>10963</v>
      </c>
      <c r="L3434" s="5">
        <v>57500</v>
      </c>
    </row>
    <row r="3435" spans="1:12" x14ac:dyDescent="0.25">
      <c r="A3435" s="3" t="s">
        <v>10786</v>
      </c>
      <c r="B3435" s="4" t="s">
        <v>10787</v>
      </c>
      <c r="C3435" s="4" t="s">
        <v>25</v>
      </c>
      <c r="D3435" s="4" t="s">
        <v>26</v>
      </c>
      <c r="E3435" s="5" t="str">
        <f>"9190462"</f>
        <v>9190462</v>
      </c>
      <c r="F3435" s="3" t="s">
        <v>10964</v>
      </c>
      <c r="G3435" s="5">
        <v>2310209595</v>
      </c>
      <c r="H3435" s="4" t="s">
        <v>10965</v>
      </c>
      <c r="I3435" s="4" t="s">
        <v>10812</v>
      </c>
      <c r="J3435" s="4" t="s">
        <v>10813</v>
      </c>
      <c r="K3435" s="4" t="s">
        <v>10966</v>
      </c>
      <c r="L3435" s="5">
        <v>54636</v>
      </c>
    </row>
    <row r="3436" spans="1:12" x14ac:dyDescent="0.25">
      <c r="A3436" s="3" t="s">
        <v>10786</v>
      </c>
      <c r="B3436" s="4" t="s">
        <v>10787</v>
      </c>
      <c r="C3436" s="4" t="s">
        <v>25</v>
      </c>
      <c r="D3436" s="4" t="s">
        <v>26</v>
      </c>
      <c r="E3436" s="5" t="str">
        <f>"9520587"</f>
        <v>9520587</v>
      </c>
      <c r="F3436" s="3" t="s">
        <v>10967</v>
      </c>
      <c r="G3436" s="5">
        <v>2392043085</v>
      </c>
      <c r="H3436" s="4" t="s">
        <v>10968</v>
      </c>
      <c r="I3436" s="4" t="s">
        <v>10898</v>
      </c>
      <c r="J3436" s="4" t="s">
        <v>10969</v>
      </c>
      <c r="K3436" s="4" t="s">
        <v>10970</v>
      </c>
      <c r="L3436" s="5">
        <v>57500</v>
      </c>
    </row>
    <row r="3437" spans="1:12" x14ac:dyDescent="0.25">
      <c r="A3437" s="3" t="s">
        <v>10786</v>
      </c>
      <c r="B3437" s="4" t="s">
        <v>10787</v>
      </c>
      <c r="C3437" s="4" t="s">
        <v>14</v>
      </c>
      <c r="D3437" s="4" t="s">
        <v>15</v>
      </c>
      <c r="E3437" s="5" t="str">
        <f>"9190669"</f>
        <v>9190669</v>
      </c>
      <c r="F3437" s="3" t="s">
        <v>10971</v>
      </c>
      <c r="G3437" s="5">
        <v>2310926304</v>
      </c>
      <c r="H3437" s="4" t="s">
        <v>10972</v>
      </c>
      <c r="I3437" s="4" t="s">
        <v>10812</v>
      </c>
      <c r="J3437" s="4" t="s">
        <v>10813</v>
      </c>
      <c r="K3437" s="4" t="s">
        <v>10973</v>
      </c>
      <c r="L3437" s="5">
        <v>54352</v>
      </c>
    </row>
    <row r="3438" spans="1:12" x14ac:dyDescent="0.25">
      <c r="A3438" s="3" t="s">
        <v>10786</v>
      </c>
      <c r="B3438" s="4" t="s">
        <v>10787</v>
      </c>
      <c r="C3438" s="4" t="s">
        <v>25</v>
      </c>
      <c r="D3438" s="4" t="s">
        <v>26</v>
      </c>
      <c r="E3438" s="5" t="str">
        <f>"9190925"</f>
        <v>9190925</v>
      </c>
      <c r="F3438" s="3" t="s">
        <v>10974</v>
      </c>
      <c r="G3438" s="5">
        <v>2310466066</v>
      </c>
      <c r="H3438" s="4" t="s">
        <v>10975</v>
      </c>
      <c r="I3438" s="4" t="s">
        <v>10804</v>
      </c>
      <c r="J3438" s="4" t="s">
        <v>10831</v>
      </c>
      <c r="K3438" s="4" t="s">
        <v>10976</v>
      </c>
      <c r="L3438" s="5">
        <v>57001</v>
      </c>
    </row>
    <row r="3439" spans="1:12" x14ac:dyDescent="0.25">
      <c r="A3439" s="3" t="s">
        <v>10786</v>
      </c>
      <c r="B3439" s="4" t="s">
        <v>10787</v>
      </c>
      <c r="C3439" s="4" t="s">
        <v>14</v>
      </c>
      <c r="D3439" s="4" t="s">
        <v>15</v>
      </c>
      <c r="E3439" s="5" t="str">
        <f>"9190176"</f>
        <v>9190176</v>
      </c>
      <c r="F3439" s="3" t="s">
        <v>10977</v>
      </c>
      <c r="G3439" s="5">
        <v>2310272730</v>
      </c>
      <c r="H3439" s="4" t="s">
        <v>10978</v>
      </c>
      <c r="I3439" s="4" t="s">
        <v>10812</v>
      </c>
      <c r="J3439" s="4" t="s">
        <v>10813</v>
      </c>
      <c r="K3439" s="4" t="s">
        <v>10979</v>
      </c>
      <c r="L3439" s="5">
        <v>54635</v>
      </c>
    </row>
    <row r="3440" spans="1:12" x14ac:dyDescent="0.25">
      <c r="A3440" s="3" t="s">
        <v>10786</v>
      </c>
      <c r="B3440" s="4" t="s">
        <v>10787</v>
      </c>
      <c r="C3440" s="4" t="s">
        <v>14</v>
      </c>
      <c r="D3440" s="4" t="s">
        <v>15</v>
      </c>
      <c r="E3440" s="5" t="str">
        <f>"9190184"</f>
        <v>9190184</v>
      </c>
      <c r="F3440" s="3" t="s">
        <v>10980</v>
      </c>
      <c r="G3440" s="5">
        <v>2310622407</v>
      </c>
      <c r="H3440" s="4" t="s">
        <v>10981</v>
      </c>
      <c r="I3440" s="4" t="s">
        <v>10812</v>
      </c>
      <c r="J3440" s="4" t="s">
        <v>10813</v>
      </c>
      <c r="K3440" s="4" t="s">
        <v>10861</v>
      </c>
      <c r="L3440" s="5">
        <v>54632</v>
      </c>
    </row>
    <row r="3441" spans="1:12" x14ac:dyDescent="0.25">
      <c r="A3441" s="3" t="s">
        <v>10786</v>
      </c>
      <c r="B3441" s="4" t="s">
        <v>10787</v>
      </c>
      <c r="C3441" s="4" t="s">
        <v>14</v>
      </c>
      <c r="D3441" s="4" t="s">
        <v>15</v>
      </c>
      <c r="E3441" s="5" t="str">
        <f>"9190356"</f>
        <v>9190356</v>
      </c>
      <c r="F3441" s="3" t="s">
        <v>10982</v>
      </c>
      <c r="G3441" s="5">
        <v>2392061414</v>
      </c>
      <c r="H3441" s="4" t="s">
        <v>10983</v>
      </c>
      <c r="I3441" s="4" t="s">
        <v>10804</v>
      </c>
      <c r="J3441" s="4" t="s">
        <v>10962</v>
      </c>
      <c r="K3441" s="4" t="s">
        <v>10984</v>
      </c>
      <c r="L3441" s="5">
        <v>57500</v>
      </c>
    </row>
    <row r="3442" spans="1:12" x14ac:dyDescent="0.25">
      <c r="A3442" s="3" t="s">
        <v>10786</v>
      </c>
      <c r="B3442" s="4" t="s">
        <v>10787</v>
      </c>
      <c r="C3442" s="4" t="s">
        <v>14</v>
      </c>
      <c r="D3442" s="4" t="s">
        <v>15</v>
      </c>
      <c r="E3442" s="5" t="str">
        <f>"9190040"</f>
        <v>9190040</v>
      </c>
      <c r="F3442" s="3" t="s">
        <v>10985</v>
      </c>
      <c r="G3442" s="5">
        <v>2310300178</v>
      </c>
      <c r="H3442" s="4" t="s">
        <v>10986</v>
      </c>
      <c r="I3442" s="4" t="s">
        <v>10812</v>
      </c>
      <c r="J3442" s="4" t="s">
        <v>10813</v>
      </c>
      <c r="K3442" s="4" t="s">
        <v>10987</v>
      </c>
      <c r="L3442" s="5">
        <v>54249</v>
      </c>
    </row>
    <row r="3443" spans="1:12" x14ac:dyDescent="0.25">
      <c r="A3443" s="3" t="s">
        <v>10786</v>
      </c>
      <c r="B3443" s="4" t="s">
        <v>10787</v>
      </c>
      <c r="C3443" s="4" t="s">
        <v>25</v>
      </c>
      <c r="D3443" s="4" t="s">
        <v>26</v>
      </c>
      <c r="E3443" s="5" t="str">
        <f>"9190353"</f>
        <v>9190353</v>
      </c>
      <c r="F3443" s="3" t="s">
        <v>10988</v>
      </c>
      <c r="G3443" s="5">
        <v>2310461991</v>
      </c>
      <c r="H3443" s="4" t="s">
        <v>10989</v>
      </c>
      <c r="I3443" s="4" t="s">
        <v>10804</v>
      </c>
      <c r="J3443" s="4" t="s">
        <v>10831</v>
      </c>
      <c r="K3443" s="4" t="s">
        <v>10990</v>
      </c>
      <c r="L3443" s="5">
        <v>57001</v>
      </c>
    </row>
    <row r="3444" spans="1:12" x14ac:dyDescent="0.25">
      <c r="A3444" s="3" t="s">
        <v>10786</v>
      </c>
      <c r="B3444" s="4" t="s">
        <v>10787</v>
      </c>
      <c r="C3444" s="4" t="s">
        <v>14</v>
      </c>
      <c r="D3444" s="4" t="s">
        <v>15</v>
      </c>
      <c r="E3444" s="5" t="str">
        <f>"9190026"</f>
        <v>9190026</v>
      </c>
      <c r="F3444" s="3" t="s">
        <v>10991</v>
      </c>
      <c r="G3444" s="5">
        <v>2310411500</v>
      </c>
      <c r="H3444" s="4" t="s">
        <v>10992</v>
      </c>
      <c r="I3444" s="4" t="s">
        <v>10790</v>
      </c>
      <c r="J3444" s="4" t="s">
        <v>10791</v>
      </c>
      <c r="K3444" s="4" t="s">
        <v>10993</v>
      </c>
      <c r="L3444" s="5">
        <v>55131</v>
      </c>
    </row>
    <row r="3445" spans="1:12" x14ac:dyDescent="0.25">
      <c r="A3445" s="3" t="s">
        <v>10786</v>
      </c>
      <c r="B3445" s="4" t="s">
        <v>10787</v>
      </c>
      <c r="C3445" s="4" t="s">
        <v>25</v>
      </c>
      <c r="D3445" s="4" t="s">
        <v>26</v>
      </c>
      <c r="E3445" s="5" t="str">
        <f>"9190341"</f>
        <v>9190341</v>
      </c>
      <c r="F3445" s="3" t="s">
        <v>10994</v>
      </c>
      <c r="G3445" s="5">
        <v>2310359650</v>
      </c>
      <c r="H3445" s="4" t="s">
        <v>10995</v>
      </c>
      <c r="I3445" s="4" t="s">
        <v>10823</v>
      </c>
      <c r="J3445" s="4" t="s">
        <v>10824</v>
      </c>
      <c r="K3445" s="4" t="s">
        <v>10996</v>
      </c>
      <c r="L3445" s="5">
        <v>57010</v>
      </c>
    </row>
    <row r="3446" spans="1:12" x14ac:dyDescent="0.25">
      <c r="A3446" s="3" t="s">
        <v>10786</v>
      </c>
      <c r="B3446" s="4" t="s">
        <v>10787</v>
      </c>
      <c r="C3446" s="4" t="s">
        <v>14</v>
      </c>
      <c r="D3446" s="4" t="s">
        <v>15</v>
      </c>
      <c r="E3446" s="5" t="str">
        <f>"9190089"</f>
        <v>9190089</v>
      </c>
      <c r="F3446" s="3" t="s">
        <v>10997</v>
      </c>
      <c r="G3446" s="5">
        <v>2310272500</v>
      </c>
      <c r="H3446" s="4" t="s">
        <v>10998</v>
      </c>
      <c r="I3446" s="4" t="s">
        <v>10812</v>
      </c>
      <c r="J3446" s="4" t="s">
        <v>10813</v>
      </c>
      <c r="K3446" s="4" t="s">
        <v>10999</v>
      </c>
      <c r="L3446" s="5">
        <v>54632</v>
      </c>
    </row>
    <row r="3447" spans="1:12" x14ac:dyDescent="0.25">
      <c r="A3447" s="3" t="s">
        <v>10786</v>
      </c>
      <c r="B3447" s="4" t="s">
        <v>10787</v>
      </c>
      <c r="C3447" s="4" t="s">
        <v>14</v>
      </c>
      <c r="D3447" s="4" t="s">
        <v>15</v>
      </c>
      <c r="E3447" s="5" t="str">
        <f>"9190833"</f>
        <v>9190833</v>
      </c>
      <c r="F3447" s="3" t="s">
        <v>11000</v>
      </c>
      <c r="G3447" s="5">
        <v>2310918377</v>
      </c>
      <c r="H3447" s="4" t="s">
        <v>11001</v>
      </c>
      <c r="I3447" s="4" t="s">
        <v>10812</v>
      </c>
      <c r="J3447" s="4" t="s">
        <v>10813</v>
      </c>
      <c r="K3447" s="4" t="s">
        <v>11002</v>
      </c>
      <c r="L3447" s="5">
        <v>54352</v>
      </c>
    </row>
    <row r="3448" spans="1:12" x14ac:dyDescent="0.25">
      <c r="A3448" s="3" t="s">
        <v>10786</v>
      </c>
      <c r="B3448" s="4" t="s">
        <v>10787</v>
      </c>
      <c r="C3448" s="4" t="s">
        <v>25</v>
      </c>
      <c r="D3448" s="4" t="s">
        <v>26</v>
      </c>
      <c r="E3448" s="5" t="str">
        <f>"9190747"</f>
        <v>9190747</v>
      </c>
      <c r="F3448" s="3" t="s">
        <v>11003</v>
      </c>
      <c r="G3448" s="5">
        <v>2310918340</v>
      </c>
      <c r="H3448" s="4" t="s">
        <v>11004</v>
      </c>
      <c r="I3448" s="4" t="s">
        <v>10823</v>
      </c>
      <c r="J3448" s="4" t="s">
        <v>10835</v>
      </c>
      <c r="K3448" s="4" t="s">
        <v>11005</v>
      </c>
      <c r="L3448" s="5">
        <v>54352</v>
      </c>
    </row>
    <row r="3449" spans="1:12" x14ac:dyDescent="0.25">
      <c r="A3449" s="3" t="s">
        <v>10786</v>
      </c>
      <c r="B3449" s="4" t="s">
        <v>10787</v>
      </c>
      <c r="C3449" s="4" t="s">
        <v>25</v>
      </c>
      <c r="D3449" s="4" t="s">
        <v>26</v>
      </c>
      <c r="E3449" s="5" t="str">
        <f>"9190192"</f>
        <v>9190192</v>
      </c>
      <c r="F3449" s="3" t="s">
        <v>11006</v>
      </c>
      <c r="G3449" s="5">
        <v>2310926788</v>
      </c>
      <c r="H3449" s="4" t="s">
        <v>11007</v>
      </c>
      <c r="I3449" s="4" t="s">
        <v>10812</v>
      </c>
      <c r="J3449" s="4" t="s">
        <v>11008</v>
      </c>
      <c r="K3449" s="4" t="s">
        <v>11009</v>
      </c>
      <c r="L3449" s="5">
        <v>55337</v>
      </c>
    </row>
    <row r="3450" spans="1:12" x14ac:dyDescent="0.25">
      <c r="A3450" s="3" t="s">
        <v>10786</v>
      </c>
      <c r="B3450" s="4" t="s">
        <v>10787</v>
      </c>
      <c r="C3450" s="4" t="s">
        <v>25</v>
      </c>
      <c r="D3450" s="4" t="s">
        <v>26</v>
      </c>
      <c r="E3450" s="5" t="str">
        <f>"9190439"</f>
        <v>9190439</v>
      </c>
      <c r="F3450" s="3" t="s">
        <v>11010</v>
      </c>
      <c r="G3450" s="5">
        <v>2310927756</v>
      </c>
      <c r="H3450" s="4" t="s">
        <v>11011</v>
      </c>
      <c r="I3450" s="4" t="s">
        <v>10812</v>
      </c>
      <c r="J3450" s="4" t="s">
        <v>10813</v>
      </c>
      <c r="K3450" s="4" t="s">
        <v>11012</v>
      </c>
      <c r="L3450" s="5">
        <v>54453</v>
      </c>
    </row>
    <row r="3451" spans="1:12" x14ac:dyDescent="0.25">
      <c r="A3451" s="3" t="s">
        <v>10786</v>
      </c>
      <c r="B3451" s="4" t="s">
        <v>10787</v>
      </c>
      <c r="C3451" s="4" t="s">
        <v>25</v>
      </c>
      <c r="D3451" s="4" t="s">
        <v>26</v>
      </c>
      <c r="E3451" s="5" t="str">
        <f>"9190481"</f>
        <v>9190481</v>
      </c>
      <c r="F3451" s="3" t="s">
        <v>11013</v>
      </c>
      <c r="G3451" s="5">
        <v>2310346582</v>
      </c>
      <c r="H3451" s="4" t="s">
        <v>11014</v>
      </c>
      <c r="I3451" s="4" t="s">
        <v>10823</v>
      </c>
      <c r="J3451" s="4" t="s">
        <v>10864</v>
      </c>
      <c r="K3451" s="4" t="s">
        <v>11015</v>
      </c>
      <c r="L3451" s="5">
        <v>55236</v>
      </c>
    </row>
    <row r="3452" spans="1:12" x14ac:dyDescent="0.25">
      <c r="A3452" s="3" t="s">
        <v>10786</v>
      </c>
      <c r="B3452" s="4" t="s">
        <v>10787</v>
      </c>
      <c r="C3452" s="4" t="s">
        <v>25</v>
      </c>
      <c r="D3452" s="4" t="s">
        <v>26</v>
      </c>
      <c r="E3452" s="5" t="str">
        <f>"9190440"</f>
        <v>9190440</v>
      </c>
      <c r="F3452" s="3" t="s">
        <v>11016</v>
      </c>
      <c r="G3452" s="5">
        <v>2310929904</v>
      </c>
      <c r="H3452" s="4" t="s">
        <v>11017</v>
      </c>
      <c r="I3452" s="4" t="s">
        <v>10812</v>
      </c>
      <c r="J3452" s="4" t="s">
        <v>10813</v>
      </c>
      <c r="K3452" s="4" t="s">
        <v>11018</v>
      </c>
      <c r="L3452" s="5">
        <v>54453</v>
      </c>
    </row>
    <row r="3453" spans="1:12" x14ac:dyDescent="0.25">
      <c r="A3453" s="3" t="s">
        <v>10786</v>
      </c>
      <c r="B3453" s="4" t="s">
        <v>10787</v>
      </c>
      <c r="C3453" s="4" t="s">
        <v>25</v>
      </c>
      <c r="D3453" s="4" t="s">
        <v>26</v>
      </c>
      <c r="E3453" s="5" t="str">
        <f>"9190441"</f>
        <v>9190441</v>
      </c>
      <c r="F3453" s="3" t="s">
        <v>11019</v>
      </c>
      <c r="G3453" s="5">
        <v>2310810637</v>
      </c>
      <c r="H3453" s="4" t="s">
        <v>11020</v>
      </c>
      <c r="I3453" s="4" t="s">
        <v>10812</v>
      </c>
      <c r="J3453" s="4" t="s">
        <v>10813</v>
      </c>
      <c r="K3453" s="4" t="s">
        <v>11021</v>
      </c>
      <c r="L3453" s="5">
        <v>54639</v>
      </c>
    </row>
    <row r="3454" spans="1:12" x14ac:dyDescent="0.25">
      <c r="A3454" s="3" t="s">
        <v>10786</v>
      </c>
      <c r="B3454" s="4" t="s">
        <v>10787</v>
      </c>
      <c r="C3454" s="4" t="s">
        <v>25</v>
      </c>
      <c r="D3454" s="4" t="s">
        <v>26</v>
      </c>
      <c r="E3454" s="5" t="str">
        <f>"9190442"</f>
        <v>9190442</v>
      </c>
      <c r="F3454" s="3" t="s">
        <v>11022</v>
      </c>
      <c r="G3454" s="5">
        <v>2310927336</v>
      </c>
      <c r="H3454" s="4" t="s">
        <v>11023</v>
      </c>
      <c r="I3454" s="4" t="s">
        <v>10812</v>
      </c>
      <c r="J3454" s="4" t="s">
        <v>10813</v>
      </c>
      <c r="K3454" s="4" t="s">
        <v>11024</v>
      </c>
      <c r="L3454" s="5">
        <v>54638</v>
      </c>
    </row>
    <row r="3455" spans="1:12" x14ac:dyDescent="0.25">
      <c r="A3455" s="3" t="s">
        <v>10786</v>
      </c>
      <c r="B3455" s="4" t="s">
        <v>10787</v>
      </c>
      <c r="C3455" s="4" t="s">
        <v>25</v>
      </c>
      <c r="D3455" s="4" t="s">
        <v>26</v>
      </c>
      <c r="E3455" s="5" t="str">
        <f>"9190443"</f>
        <v>9190443</v>
      </c>
      <c r="F3455" s="3" t="s">
        <v>11025</v>
      </c>
      <c r="G3455" s="5">
        <v>2310911234</v>
      </c>
      <c r="H3455" s="4" t="s">
        <v>11026</v>
      </c>
      <c r="I3455" s="4" t="s">
        <v>10812</v>
      </c>
      <c r="J3455" s="4" t="s">
        <v>10813</v>
      </c>
      <c r="K3455" s="4" t="s">
        <v>11002</v>
      </c>
      <c r="L3455" s="5">
        <v>54352</v>
      </c>
    </row>
    <row r="3456" spans="1:12" x14ac:dyDescent="0.25">
      <c r="A3456" s="3" t="s">
        <v>10786</v>
      </c>
      <c r="B3456" s="4" t="s">
        <v>10787</v>
      </c>
      <c r="C3456" s="4" t="s">
        <v>25</v>
      </c>
      <c r="D3456" s="4" t="s">
        <v>26</v>
      </c>
      <c r="E3456" s="5" t="str">
        <f>"9190340"</f>
        <v>9190340</v>
      </c>
      <c r="F3456" s="3" t="s">
        <v>11027</v>
      </c>
      <c r="G3456" s="5">
        <v>2310926464</v>
      </c>
      <c r="H3456" s="4" t="s">
        <v>11028</v>
      </c>
      <c r="I3456" s="4" t="s">
        <v>10812</v>
      </c>
      <c r="J3456" s="4" t="s">
        <v>10813</v>
      </c>
      <c r="K3456" s="4" t="s">
        <v>11029</v>
      </c>
      <c r="L3456" s="5">
        <v>54351</v>
      </c>
    </row>
    <row r="3457" spans="1:12" x14ac:dyDescent="0.25">
      <c r="A3457" s="3" t="s">
        <v>10786</v>
      </c>
      <c r="B3457" s="4" t="s">
        <v>10787</v>
      </c>
      <c r="C3457" s="4" t="s">
        <v>14</v>
      </c>
      <c r="D3457" s="4" t="s">
        <v>15</v>
      </c>
      <c r="E3457" s="5" t="str">
        <f>"9190025"</f>
        <v>9190025</v>
      </c>
      <c r="F3457" s="3" t="s">
        <v>11030</v>
      </c>
      <c r="G3457" s="5">
        <v>2310481470</v>
      </c>
      <c r="H3457" s="4" t="s">
        <v>11031</v>
      </c>
      <c r="I3457" s="4" t="s">
        <v>10790</v>
      </c>
      <c r="J3457" s="4" t="s">
        <v>10791</v>
      </c>
      <c r="K3457" s="4" t="s">
        <v>11032</v>
      </c>
      <c r="L3457" s="5">
        <v>55132</v>
      </c>
    </row>
    <row r="3458" spans="1:12" x14ac:dyDescent="0.25">
      <c r="A3458" s="3" t="s">
        <v>10786</v>
      </c>
      <c r="B3458" s="4" t="s">
        <v>10787</v>
      </c>
      <c r="C3458" s="4" t="s">
        <v>25</v>
      </c>
      <c r="D3458" s="4" t="s">
        <v>26</v>
      </c>
      <c r="E3458" s="5" t="str">
        <f>"9190463"</f>
        <v>9190463</v>
      </c>
      <c r="F3458" s="3" t="s">
        <v>11033</v>
      </c>
      <c r="G3458" s="5">
        <v>2310919914</v>
      </c>
      <c r="H3458" s="4" t="s">
        <v>11034</v>
      </c>
      <c r="I3458" s="4" t="s">
        <v>10812</v>
      </c>
      <c r="J3458" s="4" t="s">
        <v>10813</v>
      </c>
      <c r="K3458" s="4" t="s">
        <v>11035</v>
      </c>
      <c r="L3458" s="5">
        <v>54351</v>
      </c>
    </row>
    <row r="3459" spans="1:12" x14ac:dyDescent="0.25">
      <c r="A3459" s="3" t="s">
        <v>10786</v>
      </c>
      <c r="B3459" s="4" t="s">
        <v>10787</v>
      </c>
      <c r="C3459" s="4" t="s">
        <v>25</v>
      </c>
      <c r="D3459" s="4" t="s">
        <v>26</v>
      </c>
      <c r="E3459" s="5" t="str">
        <f>"9190464"</f>
        <v>9190464</v>
      </c>
      <c r="F3459" s="3" t="s">
        <v>11036</v>
      </c>
      <c r="G3459" s="5">
        <v>2310919487</v>
      </c>
      <c r="H3459" s="4" t="s">
        <v>11037</v>
      </c>
      <c r="I3459" s="4" t="s">
        <v>10812</v>
      </c>
      <c r="J3459" s="4" t="s">
        <v>10813</v>
      </c>
      <c r="K3459" s="4" t="s">
        <v>11038</v>
      </c>
      <c r="L3459" s="5">
        <v>54454</v>
      </c>
    </row>
    <row r="3460" spans="1:12" x14ac:dyDescent="0.25">
      <c r="A3460" s="3" t="s">
        <v>10786</v>
      </c>
      <c r="B3460" s="4" t="s">
        <v>10787</v>
      </c>
      <c r="C3460" s="4" t="s">
        <v>14</v>
      </c>
      <c r="D3460" s="4" t="s">
        <v>15</v>
      </c>
      <c r="E3460" s="5" t="str">
        <f>"9190950"</f>
        <v>9190950</v>
      </c>
      <c r="F3460" s="3" t="s">
        <v>11039</v>
      </c>
      <c r="G3460" s="5">
        <v>2310346740</v>
      </c>
      <c r="H3460" s="4" t="s">
        <v>11040</v>
      </c>
      <c r="I3460" s="4" t="s">
        <v>10823</v>
      </c>
      <c r="J3460" s="4" t="s">
        <v>10864</v>
      </c>
      <c r="K3460" s="4" t="s">
        <v>11041</v>
      </c>
      <c r="L3460" s="5">
        <v>55236</v>
      </c>
    </row>
    <row r="3461" spans="1:12" x14ac:dyDescent="0.25">
      <c r="A3461" s="3" t="s">
        <v>10786</v>
      </c>
      <c r="B3461" s="4" t="s">
        <v>10787</v>
      </c>
      <c r="C3461" s="4" t="s">
        <v>25</v>
      </c>
      <c r="D3461" s="4" t="s">
        <v>26</v>
      </c>
      <c r="E3461" s="5" t="str">
        <f>"9190673"</f>
        <v>9190673</v>
      </c>
      <c r="F3461" s="3" t="s">
        <v>11042</v>
      </c>
      <c r="G3461" s="5">
        <v>2310920844</v>
      </c>
      <c r="H3461" s="4" t="s">
        <v>11043</v>
      </c>
      <c r="I3461" s="4" t="s">
        <v>10812</v>
      </c>
      <c r="J3461" s="4" t="s">
        <v>10813</v>
      </c>
      <c r="K3461" s="4" t="s">
        <v>11044</v>
      </c>
      <c r="L3461" s="5">
        <v>54454</v>
      </c>
    </row>
    <row r="3462" spans="1:12" x14ac:dyDescent="0.25">
      <c r="A3462" s="3" t="s">
        <v>10786</v>
      </c>
      <c r="B3462" s="4" t="s">
        <v>10787</v>
      </c>
      <c r="C3462" s="4" t="s">
        <v>25</v>
      </c>
      <c r="D3462" s="4" t="s">
        <v>26</v>
      </c>
      <c r="E3462" s="5" t="str">
        <f>"9190579"</f>
        <v>9190579</v>
      </c>
      <c r="F3462" s="3" t="s">
        <v>11045</v>
      </c>
      <c r="G3462" s="5">
        <v>2310928864</v>
      </c>
      <c r="H3462" s="4" t="s">
        <v>11046</v>
      </c>
      <c r="I3462" s="4" t="s">
        <v>10812</v>
      </c>
      <c r="J3462" s="4" t="s">
        <v>10813</v>
      </c>
      <c r="K3462" s="4" t="s">
        <v>11047</v>
      </c>
      <c r="L3462" s="5">
        <v>54454</v>
      </c>
    </row>
    <row r="3463" spans="1:12" x14ac:dyDescent="0.25">
      <c r="A3463" s="3" t="s">
        <v>10786</v>
      </c>
      <c r="B3463" s="4" t="s">
        <v>10787</v>
      </c>
      <c r="C3463" s="4" t="s">
        <v>14</v>
      </c>
      <c r="D3463" s="4" t="s">
        <v>15</v>
      </c>
      <c r="E3463" s="5" t="str">
        <f>"9190031"</f>
        <v>9190031</v>
      </c>
      <c r="F3463" s="3" t="s">
        <v>11048</v>
      </c>
      <c r="G3463" s="5">
        <v>2310444860</v>
      </c>
      <c r="H3463" s="4" t="s">
        <v>11049</v>
      </c>
      <c r="I3463" s="4" t="s">
        <v>10790</v>
      </c>
      <c r="J3463" s="4" t="s">
        <v>10791</v>
      </c>
      <c r="K3463" s="4" t="s">
        <v>11050</v>
      </c>
      <c r="L3463" s="5">
        <v>55132</v>
      </c>
    </row>
    <row r="3464" spans="1:12" x14ac:dyDescent="0.25">
      <c r="A3464" s="3" t="s">
        <v>10786</v>
      </c>
      <c r="B3464" s="4" t="s">
        <v>10787</v>
      </c>
      <c r="C3464" s="4" t="s">
        <v>14</v>
      </c>
      <c r="D3464" s="4" t="s">
        <v>15</v>
      </c>
      <c r="E3464" s="5" t="str">
        <f>"9190419"</f>
        <v>9190419</v>
      </c>
      <c r="F3464" s="3" t="s">
        <v>11051</v>
      </c>
      <c r="G3464" s="5">
        <v>2310826959</v>
      </c>
      <c r="H3464" s="4" t="s">
        <v>11052</v>
      </c>
      <c r="I3464" s="4" t="s">
        <v>10812</v>
      </c>
      <c r="J3464" s="4" t="s">
        <v>10813</v>
      </c>
      <c r="K3464" s="4" t="s">
        <v>11053</v>
      </c>
      <c r="L3464" s="5">
        <v>54248</v>
      </c>
    </row>
    <row r="3465" spans="1:12" x14ac:dyDescent="0.25">
      <c r="A3465" s="3" t="s">
        <v>10786</v>
      </c>
      <c r="B3465" s="4" t="s">
        <v>10787</v>
      </c>
      <c r="C3465" s="4" t="s">
        <v>14</v>
      </c>
      <c r="D3465" s="4" t="s">
        <v>15</v>
      </c>
      <c r="E3465" s="5" t="str">
        <f>"9190034"</f>
        <v>9190034</v>
      </c>
      <c r="F3465" s="3" t="s">
        <v>11054</v>
      </c>
      <c r="G3465" s="5">
        <v>2310472730</v>
      </c>
      <c r="H3465" s="4" t="s">
        <v>11055</v>
      </c>
      <c r="I3465" s="4" t="s">
        <v>10790</v>
      </c>
      <c r="J3465" s="4" t="s">
        <v>10791</v>
      </c>
      <c r="K3465" s="4" t="s">
        <v>11056</v>
      </c>
      <c r="L3465" s="5">
        <v>55134</v>
      </c>
    </row>
    <row r="3466" spans="1:12" x14ac:dyDescent="0.25">
      <c r="A3466" s="3" t="s">
        <v>10786</v>
      </c>
      <c r="B3466" s="4" t="s">
        <v>10787</v>
      </c>
      <c r="C3466" s="4" t="s">
        <v>25</v>
      </c>
      <c r="D3466" s="4" t="s">
        <v>26</v>
      </c>
      <c r="E3466" s="5" t="str">
        <f>"9190467"</f>
        <v>9190467</v>
      </c>
      <c r="F3466" s="3" t="s">
        <v>11057</v>
      </c>
      <c r="G3466" s="5">
        <v>2310201800</v>
      </c>
      <c r="H3466" s="4" t="s">
        <v>11058</v>
      </c>
      <c r="I3466" s="4" t="s">
        <v>10812</v>
      </c>
      <c r="J3466" s="4" t="s">
        <v>10813</v>
      </c>
      <c r="K3466" s="4" t="s">
        <v>11059</v>
      </c>
      <c r="L3466" s="5">
        <v>54634</v>
      </c>
    </row>
    <row r="3467" spans="1:12" x14ac:dyDescent="0.25">
      <c r="A3467" s="3" t="s">
        <v>10786</v>
      </c>
      <c r="B3467" s="4" t="s">
        <v>10787</v>
      </c>
      <c r="C3467" s="4" t="s">
        <v>25</v>
      </c>
      <c r="D3467" s="4" t="s">
        <v>26</v>
      </c>
      <c r="E3467" s="5" t="str">
        <f>"9190469"</f>
        <v>9190469</v>
      </c>
      <c r="F3467" s="3" t="s">
        <v>11060</v>
      </c>
      <c r="G3467" s="5">
        <v>2310206707</v>
      </c>
      <c r="H3467" s="4" t="s">
        <v>11061</v>
      </c>
      <c r="I3467" s="4" t="s">
        <v>10812</v>
      </c>
      <c r="J3467" s="4" t="s">
        <v>10813</v>
      </c>
      <c r="K3467" s="4" t="s">
        <v>11062</v>
      </c>
      <c r="L3467" s="5">
        <v>54634</v>
      </c>
    </row>
    <row r="3468" spans="1:12" x14ac:dyDescent="0.25">
      <c r="A3468" s="3" t="s">
        <v>10786</v>
      </c>
      <c r="B3468" s="4" t="s">
        <v>10787</v>
      </c>
      <c r="C3468" s="4" t="s">
        <v>14</v>
      </c>
      <c r="D3468" s="4" t="s">
        <v>15</v>
      </c>
      <c r="E3468" s="5" t="str">
        <f>"9190047"</f>
        <v>9190047</v>
      </c>
      <c r="F3468" s="3" t="s">
        <v>11063</v>
      </c>
      <c r="G3468" s="5">
        <v>2310824787</v>
      </c>
      <c r="H3468" s="4" t="s">
        <v>11064</v>
      </c>
      <c r="I3468" s="4" t="s">
        <v>10812</v>
      </c>
      <c r="J3468" s="4" t="s">
        <v>10813</v>
      </c>
      <c r="K3468" s="4" t="s">
        <v>11065</v>
      </c>
      <c r="L3468" s="5">
        <v>54639</v>
      </c>
    </row>
    <row r="3469" spans="1:12" x14ac:dyDescent="0.25">
      <c r="A3469" s="3" t="s">
        <v>10786</v>
      </c>
      <c r="B3469" s="4" t="s">
        <v>10787</v>
      </c>
      <c r="C3469" s="4" t="s">
        <v>25</v>
      </c>
      <c r="D3469" s="4" t="s">
        <v>26</v>
      </c>
      <c r="E3469" s="5" t="str">
        <f>"9190472"</f>
        <v>9190472</v>
      </c>
      <c r="F3469" s="3" t="s">
        <v>11066</v>
      </c>
      <c r="G3469" s="5">
        <v>2310224514</v>
      </c>
      <c r="H3469" s="4" t="s">
        <v>11067</v>
      </c>
      <c r="I3469" s="4" t="s">
        <v>10812</v>
      </c>
      <c r="J3469" s="4" t="s">
        <v>10813</v>
      </c>
      <c r="K3469" s="4" t="s">
        <v>10979</v>
      </c>
      <c r="L3469" s="5">
        <v>54635</v>
      </c>
    </row>
    <row r="3470" spans="1:12" x14ac:dyDescent="0.25">
      <c r="A3470" s="3" t="s">
        <v>10786</v>
      </c>
      <c r="B3470" s="4" t="s">
        <v>10787</v>
      </c>
      <c r="C3470" s="4" t="s">
        <v>25</v>
      </c>
      <c r="D3470" s="4" t="s">
        <v>26</v>
      </c>
      <c r="E3470" s="5" t="str">
        <f>"9190605"</f>
        <v>9190605</v>
      </c>
      <c r="F3470" s="3" t="s">
        <v>11068</v>
      </c>
      <c r="G3470" s="5">
        <v>2310538809</v>
      </c>
      <c r="H3470" s="4" t="s">
        <v>11069</v>
      </c>
      <c r="I3470" s="4" t="s">
        <v>10812</v>
      </c>
      <c r="J3470" s="4" t="s">
        <v>10813</v>
      </c>
      <c r="K3470" s="4" t="s">
        <v>11070</v>
      </c>
      <c r="L3470" s="5">
        <v>54629</v>
      </c>
    </row>
    <row r="3471" spans="1:12" x14ac:dyDescent="0.25">
      <c r="A3471" s="3" t="s">
        <v>10786</v>
      </c>
      <c r="B3471" s="4" t="s">
        <v>10787</v>
      </c>
      <c r="C3471" s="4" t="s">
        <v>25</v>
      </c>
      <c r="D3471" s="4" t="s">
        <v>26</v>
      </c>
      <c r="E3471" s="5" t="str">
        <f>"9190030"</f>
        <v>9190030</v>
      </c>
      <c r="F3471" s="3" t="s">
        <v>11071</v>
      </c>
      <c r="G3471" s="5">
        <v>2310430600</v>
      </c>
      <c r="H3471" s="4" t="s">
        <v>11072</v>
      </c>
      <c r="I3471" s="4" t="s">
        <v>10790</v>
      </c>
      <c r="J3471" s="4" t="s">
        <v>10791</v>
      </c>
      <c r="K3471" s="4" t="s">
        <v>11073</v>
      </c>
      <c r="L3471" s="5">
        <v>55133</v>
      </c>
    </row>
    <row r="3472" spans="1:12" x14ac:dyDescent="0.25">
      <c r="A3472" s="3" t="s">
        <v>10786</v>
      </c>
      <c r="B3472" s="4" t="s">
        <v>10787</v>
      </c>
      <c r="C3472" s="4" t="s">
        <v>14</v>
      </c>
      <c r="D3472" s="4" t="s">
        <v>15</v>
      </c>
      <c r="E3472" s="5" t="str">
        <f>"9190838"</f>
        <v>9190838</v>
      </c>
      <c r="F3472" s="3" t="s">
        <v>11074</v>
      </c>
      <c r="G3472" s="5">
        <v>2310463445</v>
      </c>
      <c r="H3472" s="4" t="s">
        <v>11075</v>
      </c>
      <c r="I3472" s="4" t="s">
        <v>10804</v>
      </c>
      <c r="J3472" s="4" t="s">
        <v>10831</v>
      </c>
      <c r="K3472" s="4" t="s">
        <v>11076</v>
      </c>
      <c r="L3472" s="5">
        <v>57001</v>
      </c>
    </row>
    <row r="3473" spans="1:12" x14ac:dyDescent="0.25">
      <c r="A3473" s="3" t="s">
        <v>10786</v>
      </c>
      <c r="B3473" s="4" t="s">
        <v>10787</v>
      </c>
      <c r="C3473" s="4" t="s">
        <v>14</v>
      </c>
      <c r="D3473" s="4" t="s">
        <v>15</v>
      </c>
      <c r="E3473" s="5" t="str">
        <f>"9190910"</f>
        <v>9190910</v>
      </c>
      <c r="F3473" s="3" t="s">
        <v>11077</v>
      </c>
      <c r="G3473" s="5">
        <v>2392043206</v>
      </c>
      <c r="H3473" s="4" t="s">
        <v>11078</v>
      </c>
      <c r="I3473" s="4" t="s">
        <v>10898</v>
      </c>
      <c r="J3473" s="4" t="s">
        <v>10969</v>
      </c>
      <c r="K3473" s="4" t="s">
        <v>11079</v>
      </c>
      <c r="L3473" s="5">
        <v>57500</v>
      </c>
    </row>
    <row r="3474" spans="1:12" x14ac:dyDescent="0.25">
      <c r="A3474" s="3" t="s">
        <v>10786</v>
      </c>
      <c r="B3474" s="4" t="s">
        <v>10787</v>
      </c>
      <c r="C3474" s="4" t="s">
        <v>25</v>
      </c>
      <c r="D3474" s="4" t="s">
        <v>26</v>
      </c>
      <c r="E3474" s="5" t="str">
        <f>"9190901"</f>
        <v>9190901</v>
      </c>
      <c r="F3474" s="3" t="s">
        <v>11080</v>
      </c>
      <c r="G3474" s="5">
        <v>2310358236</v>
      </c>
      <c r="H3474" s="4" t="s">
        <v>11081</v>
      </c>
      <c r="I3474" s="4" t="s">
        <v>10823</v>
      </c>
      <c r="J3474" s="4" t="s">
        <v>10824</v>
      </c>
      <c r="K3474" s="4" t="s">
        <v>11082</v>
      </c>
      <c r="L3474" s="5">
        <v>57010</v>
      </c>
    </row>
    <row r="3475" spans="1:12" x14ac:dyDescent="0.25">
      <c r="A3475" s="3" t="s">
        <v>10786</v>
      </c>
      <c r="B3475" s="4" t="s">
        <v>10787</v>
      </c>
      <c r="C3475" s="4" t="s">
        <v>25</v>
      </c>
      <c r="D3475" s="4" t="s">
        <v>26</v>
      </c>
      <c r="E3475" s="5" t="str">
        <f>"9190671"</f>
        <v>9190671</v>
      </c>
      <c r="F3475" s="3" t="s">
        <v>11083</v>
      </c>
      <c r="G3475" s="5">
        <v>2310430330</v>
      </c>
      <c r="H3475" s="4" t="s">
        <v>11084</v>
      </c>
      <c r="I3475" s="4" t="s">
        <v>10790</v>
      </c>
      <c r="J3475" s="4" t="s">
        <v>10791</v>
      </c>
      <c r="K3475" s="4" t="s">
        <v>11085</v>
      </c>
      <c r="L3475" s="5">
        <v>55132</v>
      </c>
    </row>
    <row r="3476" spans="1:12" x14ac:dyDescent="0.25">
      <c r="A3476" s="3" t="s">
        <v>10786</v>
      </c>
      <c r="B3476" s="4" t="s">
        <v>10787</v>
      </c>
      <c r="C3476" s="4" t="s">
        <v>14</v>
      </c>
      <c r="D3476" s="4" t="s">
        <v>15</v>
      </c>
      <c r="E3476" s="5" t="str">
        <f>"9190014"</f>
        <v>9190014</v>
      </c>
      <c r="F3476" s="3" t="s">
        <v>11086</v>
      </c>
      <c r="G3476" s="5">
        <v>2310851715</v>
      </c>
      <c r="H3476" s="4" t="s">
        <v>11087</v>
      </c>
      <c r="I3476" s="4" t="s">
        <v>10812</v>
      </c>
      <c r="J3476" s="4" t="s">
        <v>11088</v>
      </c>
      <c r="K3476" s="4" t="s">
        <v>11089</v>
      </c>
      <c r="L3476" s="5">
        <v>54642</v>
      </c>
    </row>
    <row r="3477" spans="1:12" x14ac:dyDescent="0.25">
      <c r="A3477" s="3" t="s">
        <v>10786</v>
      </c>
      <c r="B3477" s="4" t="s">
        <v>10787</v>
      </c>
      <c r="C3477" s="4" t="s">
        <v>25</v>
      </c>
      <c r="D3477" s="4" t="s">
        <v>26</v>
      </c>
      <c r="E3477" s="5" t="str">
        <f>"9190941"</f>
        <v>9190941</v>
      </c>
      <c r="F3477" s="3" t="s">
        <v>11090</v>
      </c>
      <c r="G3477" s="5">
        <v>2310458929</v>
      </c>
      <c r="H3477" s="4" t="s">
        <v>11091</v>
      </c>
      <c r="I3477" s="4" t="s">
        <v>10790</v>
      </c>
      <c r="J3477" s="4" t="s">
        <v>10791</v>
      </c>
      <c r="K3477" s="4" t="s">
        <v>11092</v>
      </c>
      <c r="L3477" s="5">
        <v>55132</v>
      </c>
    </row>
    <row r="3478" spans="1:12" x14ac:dyDescent="0.25">
      <c r="A3478" s="3" t="s">
        <v>10786</v>
      </c>
      <c r="B3478" s="4" t="s">
        <v>10787</v>
      </c>
      <c r="C3478" s="4" t="s">
        <v>25</v>
      </c>
      <c r="D3478" s="4" t="s">
        <v>26</v>
      </c>
      <c r="E3478" s="5" t="str">
        <f>"9190024"</f>
        <v>9190024</v>
      </c>
      <c r="F3478" s="3" t="s">
        <v>11093</v>
      </c>
      <c r="G3478" s="5">
        <v>2310441323</v>
      </c>
      <c r="H3478" s="4" t="s">
        <v>11094</v>
      </c>
      <c r="I3478" s="4" t="s">
        <v>10790</v>
      </c>
      <c r="J3478" s="4" t="s">
        <v>10791</v>
      </c>
      <c r="K3478" s="4" t="s">
        <v>11095</v>
      </c>
      <c r="L3478" s="5">
        <v>55132</v>
      </c>
    </row>
    <row r="3479" spans="1:12" x14ac:dyDescent="0.25">
      <c r="A3479" s="3" t="s">
        <v>10786</v>
      </c>
      <c r="B3479" s="4" t="s">
        <v>10787</v>
      </c>
      <c r="C3479" s="4" t="s">
        <v>14</v>
      </c>
      <c r="D3479" s="4" t="s">
        <v>15</v>
      </c>
      <c r="E3479" s="5" t="str">
        <f>"9190042"</f>
        <v>9190042</v>
      </c>
      <c r="F3479" s="3" t="s">
        <v>11096</v>
      </c>
      <c r="G3479" s="5">
        <v>2310914680</v>
      </c>
      <c r="H3479" s="4" t="s">
        <v>11097</v>
      </c>
      <c r="I3479" s="4" t="s">
        <v>10812</v>
      </c>
      <c r="J3479" s="4" t="s">
        <v>10813</v>
      </c>
      <c r="K3479" s="4" t="s">
        <v>11047</v>
      </c>
      <c r="L3479" s="5">
        <v>54454</v>
      </c>
    </row>
    <row r="3480" spans="1:12" x14ac:dyDescent="0.25">
      <c r="A3480" s="3" t="s">
        <v>10786</v>
      </c>
      <c r="B3480" s="4" t="s">
        <v>10787</v>
      </c>
      <c r="C3480" s="4" t="s">
        <v>14</v>
      </c>
      <c r="D3480" s="4" t="s">
        <v>15</v>
      </c>
      <c r="E3480" s="5" t="str">
        <f>"9190171"</f>
        <v>9190171</v>
      </c>
      <c r="F3480" s="3" t="s">
        <v>11098</v>
      </c>
      <c r="G3480" s="5">
        <v>2310213133</v>
      </c>
      <c r="H3480" s="4" t="s">
        <v>11099</v>
      </c>
      <c r="I3480" s="4" t="s">
        <v>10812</v>
      </c>
      <c r="J3480" s="4" t="s">
        <v>10813</v>
      </c>
      <c r="K3480" s="4" t="s">
        <v>10966</v>
      </c>
      <c r="L3480" s="5">
        <v>54636</v>
      </c>
    </row>
    <row r="3481" spans="1:12" x14ac:dyDescent="0.25">
      <c r="A3481" s="3" t="s">
        <v>10786</v>
      </c>
      <c r="B3481" s="4" t="s">
        <v>10787</v>
      </c>
      <c r="C3481" s="4" t="s">
        <v>25</v>
      </c>
      <c r="D3481" s="4" t="s">
        <v>26</v>
      </c>
      <c r="E3481" s="5" t="str">
        <f>"9190935"</f>
        <v>9190935</v>
      </c>
      <c r="F3481" s="3" t="s">
        <v>11100</v>
      </c>
      <c r="G3481" s="5">
        <v>2310465289</v>
      </c>
      <c r="H3481" s="4" t="s">
        <v>11101</v>
      </c>
      <c r="I3481" s="4" t="s">
        <v>10804</v>
      </c>
      <c r="J3481" s="4" t="s">
        <v>10831</v>
      </c>
      <c r="K3481" s="4" t="s">
        <v>11102</v>
      </c>
      <c r="L3481" s="5">
        <v>57001</v>
      </c>
    </row>
    <row r="3482" spans="1:12" x14ac:dyDescent="0.25">
      <c r="A3482" s="3" t="s">
        <v>10786</v>
      </c>
      <c r="B3482" s="4" t="s">
        <v>10787</v>
      </c>
      <c r="C3482" s="4" t="s">
        <v>14</v>
      </c>
      <c r="D3482" s="4" t="s">
        <v>15</v>
      </c>
      <c r="E3482" s="5" t="str">
        <f>"9190346"</f>
        <v>9190346</v>
      </c>
      <c r="F3482" s="3" t="s">
        <v>11103</v>
      </c>
      <c r="G3482" s="5">
        <v>2310357386</v>
      </c>
      <c r="H3482" s="4" t="s">
        <v>11104</v>
      </c>
      <c r="I3482" s="4" t="s">
        <v>10823</v>
      </c>
      <c r="J3482" s="4" t="s">
        <v>11105</v>
      </c>
      <c r="K3482" s="4" t="s">
        <v>11106</v>
      </c>
      <c r="L3482" s="5">
        <v>57010</v>
      </c>
    </row>
    <row r="3483" spans="1:12" x14ac:dyDescent="0.25">
      <c r="A3483" s="3" t="s">
        <v>10786</v>
      </c>
      <c r="B3483" s="4" t="s">
        <v>10787</v>
      </c>
      <c r="C3483" s="4" t="s">
        <v>14</v>
      </c>
      <c r="D3483" s="4" t="s">
        <v>15</v>
      </c>
      <c r="E3483" s="5" t="str">
        <f>"9190178"</f>
        <v>9190178</v>
      </c>
      <c r="F3483" s="3" t="s">
        <v>11107</v>
      </c>
      <c r="G3483" s="5">
        <v>2310205550</v>
      </c>
      <c r="H3483" s="4" t="s">
        <v>11108</v>
      </c>
      <c r="I3483" s="4" t="s">
        <v>10812</v>
      </c>
      <c r="J3483" s="4" t="s">
        <v>10813</v>
      </c>
      <c r="K3483" s="4" t="s">
        <v>11062</v>
      </c>
      <c r="L3483" s="5">
        <v>54634</v>
      </c>
    </row>
    <row r="3484" spans="1:12" x14ac:dyDescent="0.25">
      <c r="A3484" s="3" t="s">
        <v>10786</v>
      </c>
      <c r="B3484" s="4" t="s">
        <v>10787</v>
      </c>
      <c r="C3484" s="4" t="s">
        <v>25</v>
      </c>
      <c r="D3484" s="4" t="s">
        <v>26</v>
      </c>
      <c r="E3484" s="5" t="str">
        <f>"9190612"</f>
        <v>9190612</v>
      </c>
      <c r="F3484" s="3" t="s">
        <v>11109</v>
      </c>
      <c r="G3484" s="5">
        <v>2392035919</v>
      </c>
      <c r="H3484" s="4" t="s">
        <v>11110</v>
      </c>
      <c r="I3484" s="4" t="s">
        <v>10898</v>
      </c>
      <c r="J3484" s="4" t="s">
        <v>11111</v>
      </c>
      <c r="K3484" s="4" t="s">
        <v>11112</v>
      </c>
      <c r="L3484" s="5">
        <v>57004</v>
      </c>
    </row>
    <row r="3485" spans="1:12" x14ac:dyDescent="0.25">
      <c r="A3485" s="3" t="s">
        <v>10786</v>
      </c>
      <c r="B3485" s="4" t="s">
        <v>10787</v>
      </c>
      <c r="C3485" s="4" t="s">
        <v>14</v>
      </c>
      <c r="D3485" s="4" t="s">
        <v>15</v>
      </c>
      <c r="E3485" s="5" t="str">
        <f>"9190788"</f>
        <v>9190788</v>
      </c>
      <c r="F3485" s="3" t="s">
        <v>11113</v>
      </c>
      <c r="G3485" s="5">
        <v>2310433346</v>
      </c>
      <c r="H3485" s="4" t="s">
        <v>11114</v>
      </c>
      <c r="I3485" s="4" t="s">
        <v>10790</v>
      </c>
      <c r="J3485" s="4" t="s">
        <v>10791</v>
      </c>
      <c r="K3485" s="4" t="s">
        <v>11115</v>
      </c>
      <c r="L3485" s="5">
        <v>55132</v>
      </c>
    </row>
    <row r="3486" spans="1:12" x14ac:dyDescent="0.25">
      <c r="A3486" s="3" t="s">
        <v>10786</v>
      </c>
      <c r="B3486" s="4" t="s">
        <v>10787</v>
      </c>
      <c r="C3486" s="4" t="s">
        <v>14</v>
      </c>
      <c r="D3486" s="4" t="s">
        <v>15</v>
      </c>
      <c r="E3486" s="5" t="str">
        <f>"9190377"</f>
        <v>9190377</v>
      </c>
      <c r="F3486" s="3" t="s">
        <v>11116</v>
      </c>
      <c r="G3486" s="5">
        <v>2310349252</v>
      </c>
      <c r="H3486" s="4" t="s">
        <v>11117</v>
      </c>
      <c r="I3486" s="4" t="s">
        <v>10823</v>
      </c>
      <c r="J3486" s="4" t="s">
        <v>11118</v>
      </c>
      <c r="K3486" s="4" t="s">
        <v>11119</v>
      </c>
      <c r="L3486" s="5">
        <v>57010</v>
      </c>
    </row>
    <row r="3487" spans="1:12" x14ac:dyDescent="0.25">
      <c r="A3487" s="3" t="s">
        <v>10786</v>
      </c>
      <c r="B3487" s="4" t="s">
        <v>10787</v>
      </c>
      <c r="C3487" s="4" t="s">
        <v>25</v>
      </c>
      <c r="D3487" s="4" t="s">
        <v>26</v>
      </c>
      <c r="E3487" s="5" t="str">
        <f>"9190933"</f>
        <v>9190933</v>
      </c>
      <c r="F3487" s="3" t="s">
        <v>11120</v>
      </c>
      <c r="G3487" s="5">
        <v>2310677389</v>
      </c>
      <c r="H3487" s="4" t="s">
        <v>11121</v>
      </c>
      <c r="I3487" s="4" t="s">
        <v>10823</v>
      </c>
      <c r="J3487" s="4" t="s">
        <v>11122</v>
      </c>
      <c r="K3487" s="4" t="s">
        <v>11123</v>
      </c>
      <c r="L3487" s="5">
        <v>57010</v>
      </c>
    </row>
    <row r="3488" spans="1:12" x14ac:dyDescent="0.25">
      <c r="A3488" s="3" t="s">
        <v>10786</v>
      </c>
      <c r="B3488" s="4" t="s">
        <v>10787</v>
      </c>
      <c r="C3488" s="4" t="s">
        <v>14</v>
      </c>
      <c r="D3488" s="4" t="s">
        <v>15</v>
      </c>
      <c r="E3488" s="5" t="str">
        <f>"9190625"</f>
        <v>9190625</v>
      </c>
      <c r="F3488" s="3" t="s">
        <v>11124</v>
      </c>
      <c r="G3488" s="5">
        <v>2310309714</v>
      </c>
      <c r="H3488" s="4" t="s">
        <v>11125</v>
      </c>
      <c r="I3488" s="4" t="s">
        <v>10812</v>
      </c>
      <c r="J3488" s="4" t="s">
        <v>10813</v>
      </c>
      <c r="K3488" s="4" t="s">
        <v>11126</v>
      </c>
      <c r="L3488" s="5">
        <v>54249</v>
      </c>
    </row>
    <row r="3489" spans="1:12" x14ac:dyDescent="0.25">
      <c r="A3489" s="3" t="s">
        <v>10786</v>
      </c>
      <c r="B3489" s="4" t="s">
        <v>10787</v>
      </c>
      <c r="C3489" s="4" t="s">
        <v>14</v>
      </c>
      <c r="D3489" s="4" t="s">
        <v>15</v>
      </c>
      <c r="E3489" s="5" t="str">
        <f>"9190506"</f>
        <v>9190506</v>
      </c>
      <c r="F3489" s="3" t="s">
        <v>11127</v>
      </c>
      <c r="G3489" s="5">
        <v>2310917217</v>
      </c>
      <c r="H3489" s="4" t="s">
        <v>11128</v>
      </c>
      <c r="I3489" s="4" t="s">
        <v>10812</v>
      </c>
      <c r="J3489" s="4" t="s">
        <v>10813</v>
      </c>
      <c r="K3489" s="4" t="s">
        <v>11129</v>
      </c>
      <c r="L3489" s="5">
        <v>54453</v>
      </c>
    </row>
    <row r="3490" spans="1:12" x14ac:dyDescent="0.25">
      <c r="A3490" s="3" t="s">
        <v>10786</v>
      </c>
      <c r="B3490" s="4" t="s">
        <v>10787</v>
      </c>
      <c r="C3490" s="4" t="s">
        <v>25</v>
      </c>
      <c r="D3490" s="4" t="s">
        <v>26</v>
      </c>
      <c r="E3490" s="5" t="str">
        <f>"9190676"</f>
        <v>9190676</v>
      </c>
      <c r="F3490" s="3" t="s">
        <v>11130</v>
      </c>
      <c r="G3490" s="5">
        <v>2310914612</v>
      </c>
      <c r="H3490" s="4" t="s">
        <v>11131</v>
      </c>
      <c r="I3490" s="4" t="s">
        <v>10812</v>
      </c>
      <c r="J3490" s="4" t="s">
        <v>10813</v>
      </c>
      <c r="K3490" s="4" t="s">
        <v>11132</v>
      </c>
      <c r="L3490" s="5">
        <v>54351</v>
      </c>
    </row>
    <row r="3491" spans="1:12" x14ac:dyDescent="0.25">
      <c r="A3491" s="3" t="s">
        <v>10786</v>
      </c>
      <c r="B3491" s="4" t="s">
        <v>10787</v>
      </c>
      <c r="C3491" s="4" t="s">
        <v>25</v>
      </c>
      <c r="D3491" s="4" t="s">
        <v>26</v>
      </c>
      <c r="E3491" s="5" t="str">
        <f>"9190902"</f>
        <v>9190902</v>
      </c>
      <c r="F3491" s="3" t="s">
        <v>11133</v>
      </c>
      <c r="G3491" s="5">
        <v>2392035760</v>
      </c>
      <c r="H3491" s="4" t="s">
        <v>11134</v>
      </c>
      <c r="I3491" s="4" t="s">
        <v>10898</v>
      </c>
      <c r="J3491" s="4" t="s">
        <v>11111</v>
      </c>
      <c r="K3491" s="4" t="s">
        <v>11135</v>
      </c>
      <c r="L3491" s="5">
        <v>57004</v>
      </c>
    </row>
    <row r="3492" spans="1:12" x14ac:dyDescent="0.25">
      <c r="A3492" s="3" t="s">
        <v>10786</v>
      </c>
      <c r="B3492" s="4" t="s">
        <v>10787</v>
      </c>
      <c r="C3492" s="4" t="s">
        <v>25</v>
      </c>
      <c r="D3492" s="4" t="s">
        <v>26</v>
      </c>
      <c r="E3492" s="5" t="str">
        <f>"9190735"</f>
        <v>9190735</v>
      </c>
      <c r="F3492" s="3" t="s">
        <v>11136</v>
      </c>
      <c r="G3492" s="5">
        <v>2310949713</v>
      </c>
      <c r="H3492" s="4" t="s">
        <v>11137</v>
      </c>
      <c r="I3492" s="4" t="s">
        <v>10812</v>
      </c>
      <c r="J3492" s="4" t="s">
        <v>10813</v>
      </c>
      <c r="K3492" s="4" t="s">
        <v>10846</v>
      </c>
      <c r="L3492" s="5">
        <v>54454</v>
      </c>
    </row>
    <row r="3493" spans="1:12" x14ac:dyDescent="0.25">
      <c r="A3493" s="3" t="s">
        <v>10786</v>
      </c>
      <c r="B3493" s="4" t="s">
        <v>10787</v>
      </c>
      <c r="C3493" s="4" t="s">
        <v>14</v>
      </c>
      <c r="D3493" s="4" t="s">
        <v>15</v>
      </c>
      <c r="E3493" s="5" t="str">
        <f>"9190029"</f>
        <v>9190029</v>
      </c>
      <c r="F3493" s="3" t="s">
        <v>11138</v>
      </c>
      <c r="G3493" s="5">
        <v>2312000792</v>
      </c>
      <c r="H3493" s="4" t="s">
        <v>11139</v>
      </c>
      <c r="I3493" s="4" t="s">
        <v>10790</v>
      </c>
      <c r="J3493" s="4" t="s">
        <v>10791</v>
      </c>
      <c r="K3493" s="4" t="s">
        <v>11140</v>
      </c>
      <c r="L3493" s="5">
        <v>55132</v>
      </c>
    </row>
    <row r="3494" spans="1:12" x14ac:dyDescent="0.25">
      <c r="A3494" s="3" t="s">
        <v>10786</v>
      </c>
      <c r="B3494" s="4" t="s">
        <v>10787</v>
      </c>
      <c r="C3494" s="4" t="s">
        <v>25</v>
      </c>
      <c r="D3494" s="4" t="s">
        <v>26</v>
      </c>
      <c r="E3494" s="5" t="str">
        <f>"9190808"</f>
        <v>9190808</v>
      </c>
      <c r="F3494" s="3" t="s">
        <v>11141</v>
      </c>
      <c r="G3494" s="5">
        <v>2310901077</v>
      </c>
      <c r="H3494" s="4" t="s">
        <v>11142</v>
      </c>
      <c r="I3494" s="4" t="s">
        <v>10812</v>
      </c>
      <c r="J3494" s="4" t="s">
        <v>10813</v>
      </c>
      <c r="K3494" s="4" t="s">
        <v>11143</v>
      </c>
      <c r="L3494" s="5">
        <v>54352</v>
      </c>
    </row>
    <row r="3495" spans="1:12" x14ac:dyDescent="0.25">
      <c r="A3495" s="3" t="s">
        <v>10786</v>
      </c>
      <c r="B3495" s="4" t="s">
        <v>10787</v>
      </c>
      <c r="C3495" s="4" t="s">
        <v>25</v>
      </c>
      <c r="D3495" s="4" t="s">
        <v>26</v>
      </c>
      <c r="E3495" s="5" t="str">
        <f>"9190809"</f>
        <v>9190809</v>
      </c>
      <c r="F3495" s="3" t="s">
        <v>11144</v>
      </c>
      <c r="G3495" s="5">
        <v>2310933555</v>
      </c>
      <c r="H3495" s="4" t="s">
        <v>11145</v>
      </c>
      <c r="I3495" s="4" t="s">
        <v>10812</v>
      </c>
      <c r="J3495" s="4" t="s">
        <v>10813</v>
      </c>
      <c r="K3495" s="4" t="s">
        <v>10973</v>
      </c>
      <c r="L3495" s="5">
        <v>54352</v>
      </c>
    </row>
    <row r="3496" spans="1:12" x14ac:dyDescent="0.25">
      <c r="A3496" s="3" t="s">
        <v>10786</v>
      </c>
      <c r="B3496" s="4" t="s">
        <v>10787</v>
      </c>
      <c r="C3496" s="4" t="s">
        <v>25</v>
      </c>
      <c r="D3496" s="4" t="s">
        <v>26</v>
      </c>
      <c r="E3496" s="5" t="str">
        <f>"9190431"</f>
        <v>9190431</v>
      </c>
      <c r="F3496" s="3" t="s">
        <v>11146</v>
      </c>
      <c r="G3496" s="5">
        <v>2310472587</v>
      </c>
      <c r="H3496" s="4" t="s">
        <v>11147</v>
      </c>
      <c r="I3496" s="4" t="s">
        <v>10790</v>
      </c>
      <c r="J3496" s="4" t="s">
        <v>10791</v>
      </c>
      <c r="K3496" s="4" t="s">
        <v>11056</v>
      </c>
      <c r="L3496" s="5">
        <v>55134</v>
      </c>
    </row>
    <row r="3497" spans="1:12" x14ac:dyDescent="0.25">
      <c r="A3497" s="3" t="s">
        <v>10786</v>
      </c>
      <c r="B3497" s="4" t="s">
        <v>10787</v>
      </c>
      <c r="C3497" s="4" t="s">
        <v>25</v>
      </c>
      <c r="D3497" s="4" t="s">
        <v>26</v>
      </c>
      <c r="E3497" s="5" t="str">
        <f>"9520586"</f>
        <v>9520586</v>
      </c>
      <c r="F3497" s="3" t="s">
        <v>11148</v>
      </c>
      <c r="G3497" s="5">
        <v>2392035727</v>
      </c>
      <c r="H3497" s="4" t="s">
        <v>11149</v>
      </c>
      <c r="I3497" s="4" t="s">
        <v>10898</v>
      </c>
      <c r="J3497" s="4" t="s">
        <v>11150</v>
      </c>
      <c r="K3497" s="4" t="s">
        <v>11151</v>
      </c>
      <c r="L3497" s="5">
        <v>57004</v>
      </c>
    </row>
    <row r="3498" spans="1:12" x14ac:dyDescent="0.25">
      <c r="A3498" s="3" t="s">
        <v>10786</v>
      </c>
      <c r="B3498" s="4" t="s">
        <v>10787</v>
      </c>
      <c r="C3498" s="4" t="s">
        <v>14</v>
      </c>
      <c r="D3498" s="4" t="s">
        <v>15</v>
      </c>
      <c r="E3498" s="5" t="str">
        <f>"9190058"</f>
        <v>9190058</v>
      </c>
      <c r="F3498" s="3" t="s">
        <v>11152</v>
      </c>
      <c r="G3498" s="5">
        <v>2310301714</v>
      </c>
      <c r="H3498" s="4" t="s">
        <v>11153</v>
      </c>
      <c r="I3498" s="4" t="s">
        <v>10823</v>
      </c>
      <c r="J3498" s="4" t="s">
        <v>10835</v>
      </c>
      <c r="K3498" s="4" t="s">
        <v>11154</v>
      </c>
      <c r="L3498" s="5">
        <v>55535</v>
      </c>
    </row>
    <row r="3499" spans="1:12" x14ac:dyDescent="0.25">
      <c r="A3499" s="3" t="s">
        <v>10786</v>
      </c>
      <c r="B3499" s="4" t="s">
        <v>10787</v>
      </c>
      <c r="C3499" s="4" t="s">
        <v>25</v>
      </c>
      <c r="D3499" s="4" t="s">
        <v>26</v>
      </c>
      <c r="E3499" s="5" t="str">
        <f>"9190022"</f>
        <v>9190022</v>
      </c>
      <c r="F3499" s="3" t="s">
        <v>11155</v>
      </c>
      <c r="G3499" s="5">
        <v>2311300608</v>
      </c>
      <c r="H3499" s="4" t="s">
        <v>11156</v>
      </c>
      <c r="I3499" s="4" t="s">
        <v>10790</v>
      </c>
      <c r="J3499" s="4" t="s">
        <v>10791</v>
      </c>
      <c r="K3499" s="4" t="s">
        <v>11157</v>
      </c>
      <c r="L3499" s="5">
        <v>55133</v>
      </c>
    </row>
    <row r="3500" spans="1:12" x14ac:dyDescent="0.25">
      <c r="A3500" s="3" t="s">
        <v>10786</v>
      </c>
      <c r="B3500" s="4" t="s">
        <v>10787</v>
      </c>
      <c r="C3500" s="4" t="s">
        <v>25</v>
      </c>
      <c r="D3500" s="4" t="s">
        <v>26</v>
      </c>
      <c r="E3500" s="5" t="str">
        <f>"9190560"</f>
        <v>9190560</v>
      </c>
      <c r="F3500" s="3" t="s">
        <v>11158</v>
      </c>
      <c r="G3500" s="5">
        <v>2392025496</v>
      </c>
      <c r="H3500" s="4" t="s">
        <v>11159</v>
      </c>
      <c r="I3500" s="4" t="s">
        <v>10898</v>
      </c>
      <c r="J3500" s="4" t="s">
        <v>11160</v>
      </c>
      <c r="K3500" s="4" t="s">
        <v>11161</v>
      </c>
      <c r="L3500" s="5">
        <v>57019</v>
      </c>
    </row>
    <row r="3501" spans="1:12" x14ac:dyDescent="0.25">
      <c r="A3501" s="3" t="s">
        <v>10786</v>
      </c>
      <c r="B3501" s="4" t="s">
        <v>10787</v>
      </c>
      <c r="C3501" s="4" t="s">
        <v>14</v>
      </c>
      <c r="D3501" s="4" t="s">
        <v>15</v>
      </c>
      <c r="E3501" s="5" t="str">
        <f>"9190364"</f>
        <v>9190364</v>
      </c>
      <c r="F3501" s="3" t="s">
        <v>11162</v>
      </c>
      <c r="G3501" s="5">
        <v>2310461061</v>
      </c>
      <c r="H3501" s="4" t="s">
        <v>11163</v>
      </c>
      <c r="I3501" s="4" t="s">
        <v>10804</v>
      </c>
      <c r="J3501" s="4" t="s">
        <v>10929</v>
      </c>
      <c r="K3501" s="4" t="s">
        <v>11164</v>
      </c>
      <c r="L3501" s="5">
        <v>57001</v>
      </c>
    </row>
    <row r="3502" spans="1:12" x14ac:dyDescent="0.25">
      <c r="A3502" s="3" t="s">
        <v>10786</v>
      </c>
      <c r="B3502" s="4" t="s">
        <v>10787</v>
      </c>
      <c r="C3502" s="4" t="s">
        <v>25</v>
      </c>
      <c r="D3502" s="4" t="s">
        <v>26</v>
      </c>
      <c r="E3502" s="5" t="str">
        <f>"9190567"</f>
        <v>9190567</v>
      </c>
      <c r="F3502" s="3" t="s">
        <v>11165</v>
      </c>
      <c r="G3502" s="5">
        <v>2311301086</v>
      </c>
      <c r="H3502" s="4" t="s">
        <v>11166</v>
      </c>
      <c r="I3502" s="4" t="s">
        <v>10790</v>
      </c>
      <c r="J3502" s="4" t="s">
        <v>10790</v>
      </c>
      <c r="K3502" s="4" t="s">
        <v>11167</v>
      </c>
      <c r="L3502" s="5">
        <v>55133</v>
      </c>
    </row>
    <row r="3503" spans="1:12" x14ac:dyDescent="0.25">
      <c r="A3503" s="3" t="s">
        <v>10786</v>
      </c>
      <c r="B3503" s="4" t="s">
        <v>10787</v>
      </c>
      <c r="C3503" s="4" t="s">
        <v>25</v>
      </c>
      <c r="D3503" s="4" t="s">
        <v>26</v>
      </c>
      <c r="E3503" s="5" t="str">
        <f>"9190936"</f>
        <v>9190936</v>
      </c>
      <c r="F3503" s="3" t="s">
        <v>11168</v>
      </c>
      <c r="G3503" s="5">
        <v>2392020377</v>
      </c>
      <c r="H3503" s="4" t="s">
        <v>11169</v>
      </c>
      <c r="I3503" s="4" t="s">
        <v>10898</v>
      </c>
      <c r="J3503" s="4" t="s">
        <v>11160</v>
      </c>
      <c r="K3503" s="4" t="s">
        <v>11170</v>
      </c>
      <c r="L3503" s="5">
        <v>57019</v>
      </c>
    </row>
    <row r="3504" spans="1:12" x14ac:dyDescent="0.25">
      <c r="A3504" s="3" t="s">
        <v>10786</v>
      </c>
      <c r="B3504" s="4" t="s">
        <v>10787</v>
      </c>
      <c r="C3504" s="4" t="s">
        <v>25</v>
      </c>
      <c r="D3504" s="4" t="s">
        <v>26</v>
      </c>
      <c r="E3504" s="5" t="str">
        <f>"9190843"</f>
        <v>9190843</v>
      </c>
      <c r="F3504" s="3" t="s">
        <v>11171</v>
      </c>
      <c r="G3504" s="5">
        <v>2311253716</v>
      </c>
      <c r="H3504" s="4" t="s">
        <v>11172</v>
      </c>
      <c r="I3504" s="4" t="s">
        <v>10790</v>
      </c>
      <c r="J3504" s="4" t="s">
        <v>10791</v>
      </c>
      <c r="K3504" s="4" t="s">
        <v>11173</v>
      </c>
      <c r="L3504" s="5">
        <v>55134</v>
      </c>
    </row>
    <row r="3505" spans="1:12" x14ac:dyDescent="0.25">
      <c r="A3505" s="3" t="s">
        <v>10786</v>
      </c>
      <c r="B3505" s="4" t="s">
        <v>10787</v>
      </c>
      <c r="C3505" s="4" t="s">
        <v>14</v>
      </c>
      <c r="D3505" s="4" t="s">
        <v>15</v>
      </c>
      <c r="E3505" s="5" t="str">
        <f>"9190632"</f>
        <v>9190632</v>
      </c>
      <c r="F3505" s="3" t="s">
        <v>11174</v>
      </c>
      <c r="G3505" s="5">
        <v>2310910652</v>
      </c>
      <c r="H3505" s="4" t="s">
        <v>11175</v>
      </c>
      <c r="I3505" s="4" t="s">
        <v>10812</v>
      </c>
      <c r="J3505" s="4" t="s">
        <v>10813</v>
      </c>
      <c r="K3505" s="4" t="s">
        <v>11047</v>
      </c>
      <c r="L3505" s="5">
        <v>54454</v>
      </c>
    </row>
    <row r="3506" spans="1:12" x14ac:dyDescent="0.25">
      <c r="A3506" s="3" t="s">
        <v>10786</v>
      </c>
      <c r="B3506" s="4" t="s">
        <v>10787</v>
      </c>
      <c r="C3506" s="4" t="s">
        <v>25</v>
      </c>
      <c r="D3506" s="4" t="s">
        <v>26</v>
      </c>
      <c r="E3506" s="5" t="str">
        <f>"9190691"</f>
        <v>9190691</v>
      </c>
      <c r="F3506" s="3" t="s">
        <v>11176</v>
      </c>
      <c r="G3506" s="5">
        <v>2392091115</v>
      </c>
      <c r="H3506" s="4" t="s">
        <v>11177</v>
      </c>
      <c r="I3506" s="4" t="s">
        <v>10898</v>
      </c>
      <c r="J3506" s="4" t="s">
        <v>11178</v>
      </c>
      <c r="K3506" s="4" t="s">
        <v>11178</v>
      </c>
      <c r="L3506" s="5">
        <v>57500</v>
      </c>
    </row>
    <row r="3507" spans="1:12" x14ac:dyDescent="0.25">
      <c r="A3507" s="3" t="s">
        <v>10786</v>
      </c>
      <c r="B3507" s="4" t="s">
        <v>10787</v>
      </c>
      <c r="C3507" s="4" t="s">
        <v>14</v>
      </c>
      <c r="D3507" s="4" t="s">
        <v>15</v>
      </c>
      <c r="E3507" s="5" t="str">
        <f>"9190085"</f>
        <v>9190085</v>
      </c>
      <c r="F3507" s="3" t="s">
        <v>11179</v>
      </c>
      <c r="G3507" s="5">
        <v>2310269589</v>
      </c>
      <c r="H3507" s="4" t="s">
        <v>11180</v>
      </c>
      <c r="I3507" s="4" t="s">
        <v>10812</v>
      </c>
      <c r="J3507" s="4" t="s">
        <v>10813</v>
      </c>
      <c r="K3507" s="4" t="s">
        <v>11181</v>
      </c>
      <c r="L3507" s="5">
        <v>54622</v>
      </c>
    </row>
    <row r="3508" spans="1:12" x14ac:dyDescent="0.25">
      <c r="A3508" s="3" t="s">
        <v>10786</v>
      </c>
      <c r="B3508" s="4" t="s">
        <v>10787</v>
      </c>
      <c r="C3508" s="4" t="s">
        <v>25</v>
      </c>
      <c r="D3508" s="4" t="s">
        <v>26</v>
      </c>
      <c r="E3508" s="5" t="str">
        <f>"9520924"</f>
        <v>9520924</v>
      </c>
      <c r="F3508" s="3" t="s">
        <v>11182</v>
      </c>
      <c r="G3508" s="5">
        <v>2310678388</v>
      </c>
      <c r="H3508" s="4" t="s">
        <v>11183</v>
      </c>
      <c r="I3508" s="4" t="s">
        <v>10823</v>
      </c>
      <c r="J3508" s="4" t="s">
        <v>11122</v>
      </c>
      <c r="K3508" s="4" t="s">
        <v>11184</v>
      </c>
      <c r="L3508" s="5">
        <v>57010</v>
      </c>
    </row>
    <row r="3509" spans="1:12" x14ac:dyDescent="0.25">
      <c r="A3509" s="3" t="s">
        <v>10786</v>
      </c>
      <c r="B3509" s="4" t="s">
        <v>10787</v>
      </c>
      <c r="C3509" s="4" t="s">
        <v>25</v>
      </c>
      <c r="D3509" s="4" t="s">
        <v>26</v>
      </c>
      <c r="E3509" s="5" t="str">
        <f>"9520975"</f>
        <v>9520975</v>
      </c>
      <c r="F3509" s="3" t="s">
        <v>11185</v>
      </c>
      <c r="G3509" s="5">
        <v>2392022421</v>
      </c>
      <c r="H3509" s="4" t="s">
        <v>11186</v>
      </c>
      <c r="I3509" s="4" t="s">
        <v>10898</v>
      </c>
      <c r="J3509" s="4" t="s">
        <v>10899</v>
      </c>
      <c r="K3509" s="4" t="s">
        <v>11187</v>
      </c>
      <c r="L3509" s="5">
        <v>57019</v>
      </c>
    </row>
    <row r="3510" spans="1:12" x14ac:dyDescent="0.25">
      <c r="A3510" s="3" t="s">
        <v>10786</v>
      </c>
      <c r="B3510" s="4" t="s">
        <v>10787</v>
      </c>
      <c r="C3510" s="4" t="s">
        <v>14</v>
      </c>
      <c r="D3510" s="4" t="s">
        <v>15</v>
      </c>
      <c r="E3510" s="5" t="str">
        <f>"9190015"</f>
        <v>9190015</v>
      </c>
      <c r="F3510" s="3" t="s">
        <v>11188</v>
      </c>
      <c r="G3510" s="5">
        <v>2310811452</v>
      </c>
      <c r="H3510" s="4" t="s">
        <v>11189</v>
      </c>
      <c r="I3510" s="4" t="s">
        <v>10812</v>
      </c>
      <c r="J3510" s="4" t="s">
        <v>10813</v>
      </c>
      <c r="K3510" s="4" t="s">
        <v>11190</v>
      </c>
      <c r="L3510" s="5">
        <v>54248</v>
      </c>
    </row>
    <row r="3511" spans="1:12" x14ac:dyDescent="0.25">
      <c r="A3511" s="3" t="s">
        <v>10786</v>
      </c>
      <c r="B3511" s="4" t="s">
        <v>10787</v>
      </c>
      <c r="C3511" s="4" t="s">
        <v>25</v>
      </c>
      <c r="D3511" s="4" t="s">
        <v>26</v>
      </c>
      <c r="E3511" s="5" t="str">
        <f>"9190496"</f>
        <v>9190496</v>
      </c>
      <c r="F3511" s="3" t="s">
        <v>11191</v>
      </c>
      <c r="G3511" s="5">
        <v>2392026904</v>
      </c>
      <c r="H3511" s="4" t="s">
        <v>11192</v>
      </c>
      <c r="I3511" s="4" t="s">
        <v>10898</v>
      </c>
      <c r="J3511" s="4" t="s">
        <v>10899</v>
      </c>
      <c r="K3511" s="4" t="s">
        <v>11193</v>
      </c>
      <c r="L3511" s="5">
        <v>57019</v>
      </c>
    </row>
    <row r="3512" spans="1:12" x14ac:dyDescent="0.25">
      <c r="A3512" s="3" t="s">
        <v>10786</v>
      </c>
      <c r="B3512" s="4" t="s">
        <v>10787</v>
      </c>
      <c r="C3512" s="4" t="s">
        <v>25</v>
      </c>
      <c r="D3512" s="4" t="s">
        <v>26</v>
      </c>
      <c r="E3512" s="5" t="str">
        <f>"9190797"</f>
        <v>9190797</v>
      </c>
      <c r="F3512" s="3" t="s">
        <v>11194</v>
      </c>
      <c r="G3512" s="5">
        <v>2310928095</v>
      </c>
      <c r="H3512" s="4" t="s">
        <v>11195</v>
      </c>
      <c r="I3512" s="4" t="s">
        <v>10812</v>
      </c>
      <c r="J3512" s="4" t="s">
        <v>11008</v>
      </c>
      <c r="K3512" s="4" t="s">
        <v>11196</v>
      </c>
      <c r="L3512" s="5">
        <v>55337</v>
      </c>
    </row>
    <row r="3513" spans="1:12" x14ac:dyDescent="0.25">
      <c r="A3513" s="3" t="s">
        <v>10786</v>
      </c>
      <c r="B3513" s="4" t="s">
        <v>10787</v>
      </c>
      <c r="C3513" s="4" t="s">
        <v>25</v>
      </c>
      <c r="D3513" s="4" t="s">
        <v>26</v>
      </c>
      <c r="E3513" s="5" t="str">
        <f>"9190731"</f>
        <v>9190731</v>
      </c>
      <c r="F3513" s="3" t="s">
        <v>11197</v>
      </c>
      <c r="G3513" s="5">
        <v>2392071213</v>
      </c>
      <c r="H3513" s="4" t="s">
        <v>11198</v>
      </c>
      <c r="I3513" s="4" t="s">
        <v>10804</v>
      </c>
      <c r="J3513" s="4" t="s">
        <v>11199</v>
      </c>
      <c r="K3513" s="4" t="s">
        <v>11200</v>
      </c>
      <c r="L3513" s="5">
        <v>57001</v>
      </c>
    </row>
    <row r="3514" spans="1:12" x14ac:dyDescent="0.25">
      <c r="A3514" s="3" t="s">
        <v>10786</v>
      </c>
      <c r="B3514" s="4" t="s">
        <v>10787</v>
      </c>
      <c r="C3514" s="4" t="s">
        <v>14</v>
      </c>
      <c r="D3514" s="4" t="s">
        <v>15</v>
      </c>
      <c r="E3514" s="5" t="str">
        <f>"9190001"</f>
        <v>9190001</v>
      </c>
      <c r="F3514" s="3" t="s">
        <v>11201</v>
      </c>
      <c r="G3514" s="5">
        <v>2310411696</v>
      </c>
      <c r="H3514" s="4" t="s">
        <v>11202</v>
      </c>
      <c r="I3514" s="4" t="s">
        <v>10812</v>
      </c>
      <c r="J3514" s="4" t="s">
        <v>11088</v>
      </c>
      <c r="K3514" s="4" t="s">
        <v>11203</v>
      </c>
      <c r="L3514" s="5">
        <v>54655</v>
      </c>
    </row>
    <row r="3515" spans="1:12" x14ac:dyDescent="0.25">
      <c r="A3515" s="3" t="s">
        <v>10786</v>
      </c>
      <c r="B3515" s="4" t="s">
        <v>10787</v>
      </c>
      <c r="C3515" s="4" t="s">
        <v>14</v>
      </c>
      <c r="D3515" s="4" t="s">
        <v>15</v>
      </c>
      <c r="E3515" s="5" t="str">
        <f>"9190368"</f>
        <v>9190368</v>
      </c>
      <c r="F3515" s="3" t="s">
        <v>11204</v>
      </c>
      <c r="G3515" s="5">
        <v>2310341168</v>
      </c>
      <c r="H3515" s="4" t="s">
        <v>11205</v>
      </c>
      <c r="I3515" s="4" t="s">
        <v>10823</v>
      </c>
      <c r="J3515" s="4" t="s">
        <v>10864</v>
      </c>
      <c r="K3515" s="4" t="s">
        <v>11206</v>
      </c>
      <c r="L3515" s="5">
        <v>55236</v>
      </c>
    </row>
    <row r="3516" spans="1:12" x14ac:dyDescent="0.25">
      <c r="A3516" s="3" t="s">
        <v>10786</v>
      </c>
      <c r="B3516" s="4" t="s">
        <v>10787</v>
      </c>
      <c r="C3516" s="4" t="s">
        <v>25</v>
      </c>
      <c r="D3516" s="4" t="s">
        <v>26</v>
      </c>
      <c r="E3516" s="5" t="str">
        <f>"9190374"</f>
        <v>9190374</v>
      </c>
      <c r="F3516" s="3" t="s">
        <v>11207</v>
      </c>
      <c r="G3516" s="5">
        <v>2392063503</v>
      </c>
      <c r="H3516" s="4" t="s">
        <v>11208</v>
      </c>
      <c r="I3516" s="4" t="s">
        <v>10804</v>
      </c>
      <c r="J3516" s="4" t="s">
        <v>11209</v>
      </c>
      <c r="K3516" s="4" t="s">
        <v>11209</v>
      </c>
      <c r="L3516" s="5">
        <v>57500</v>
      </c>
    </row>
    <row r="3517" spans="1:12" x14ac:dyDescent="0.25">
      <c r="A3517" s="3" t="s">
        <v>10786</v>
      </c>
      <c r="B3517" s="4" t="s">
        <v>10787</v>
      </c>
      <c r="C3517" s="4" t="s">
        <v>25</v>
      </c>
      <c r="D3517" s="4" t="s">
        <v>26</v>
      </c>
      <c r="E3517" s="5" t="str">
        <f>"9190704"</f>
        <v>9190704</v>
      </c>
      <c r="F3517" s="3" t="s">
        <v>11210</v>
      </c>
      <c r="G3517" s="5">
        <v>2392064477</v>
      </c>
      <c r="H3517" s="4" t="s">
        <v>11211</v>
      </c>
      <c r="I3517" s="4" t="s">
        <v>10804</v>
      </c>
      <c r="J3517" s="4" t="s">
        <v>11212</v>
      </c>
      <c r="K3517" s="4" t="s">
        <v>11213</v>
      </c>
      <c r="L3517" s="5">
        <v>57500</v>
      </c>
    </row>
    <row r="3518" spans="1:12" ht="30" x14ac:dyDescent="0.25">
      <c r="A3518" s="3" t="s">
        <v>10786</v>
      </c>
      <c r="B3518" s="4" t="s">
        <v>10787</v>
      </c>
      <c r="C3518" s="4" t="s">
        <v>14</v>
      </c>
      <c r="D3518" s="4" t="s">
        <v>960</v>
      </c>
      <c r="E3518" s="5" t="str">
        <f>"9190366"</f>
        <v>9190366</v>
      </c>
      <c r="F3518" s="3" t="s">
        <v>11214</v>
      </c>
      <c r="G3518" s="5">
        <v>2392023133</v>
      </c>
      <c r="H3518" s="4" t="s">
        <v>11215</v>
      </c>
      <c r="I3518" s="4" t="s">
        <v>10898</v>
      </c>
      <c r="J3518" s="4" t="s">
        <v>11216</v>
      </c>
      <c r="K3518" s="4" t="s">
        <v>11217</v>
      </c>
      <c r="L3518" s="5">
        <v>57019</v>
      </c>
    </row>
    <row r="3519" spans="1:12" x14ac:dyDescent="0.25">
      <c r="A3519" s="3" t="s">
        <v>10786</v>
      </c>
      <c r="B3519" s="4" t="s">
        <v>10787</v>
      </c>
      <c r="C3519" s="4" t="s">
        <v>25</v>
      </c>
      <c r="D3519" s="4" t="s">
        <v>26</v>
      </c>
      <c r="E3519" s="5" t="str">
        <f>"9190818"</f>
        <v>9190818</v>
      </c>
      <c r="F3519" s="3" t="s">
        <v>11218</v>
      </c>
      <c r="G3519" s="5">
        <v>2310415777</v>
      </c>
      <c r="H3519" s="4" t="s">
        <v>11219</v>
      </c>
      <c r="I3519" s="4" t="s">
        <v>10790</v>
      </c>
      <c r="J3519" s="4" t="s">
        <v>10791</v>
      </c>
      <c r="K3519" s="4" t="s">
        <v>11220</v>
      </c>
      <c r="L3519" s="5">
        <v>55131</v>
      </c>
    </row>
    <row r="3520" spans="1:12" x14ac:dyDescent="0.25">
      <c r="A3520" s="3" t="s">
        <v>10786</v>
      </c>
      <c r="B3520" s="4" t="s">
        <v>10787</v>
      </c>
      <c r="C3520" s="4" t="s">
        <v>14</v>
      </c>
      <c r="D3520" s="4" t="s">
        <v>15</v>
      </c>
      <c r="E3520" s="5" t="str">
        <f>"9190418"</f>
        <v>9190418</v>
      </c>
      <c r="F3520" s="3" t="s">
        <v>11221</v>
      </c>
      <c r="G3520" s="5">
        <v>2310823667</v>
      </c>
      <c r="H3520" s="4" t="s">
        <v>11222</v>
      </c>
      <c r="I3520" s="4" t="s">
        <v>10812</v>
      </c>
      <c r="J3520" s="4" t="s">
        <v>10813</v>
      </c>
      <c r="K3520" s="4" t="s">
        <v>11223</v>
      </c>
      <c r="L3520" s="5">
        <v>54645</v>
      </c>
    </row>
    <row r="3521" spans="1:12" x14ac:dyDescent="0.25">
      <c r="A3521" s="3" t="s">
        <v>10786</v>
      </c>
      <c r="B3521" s="4" t="s">
        <v>10787</v>
      </c>
      <c r="C3521" s="4" t="s">
        <v>14</v>
      </c>
      <c r="D3521" s="4" t="s">
        <v>15</v>
      </c>
      <c r="E3521" s="5" t="str">
        <f>"9190044"</f>
        <v>9190044</v>
      </c>
      <c r="F3521" s="3" t="s">
        <v>11224</v>
      </c>
      <c r="G3521" s="5">
        <v>2310913420</v>
      </c>
      <c r="H3521" s="4" t="s">
        <v>11225</v>
      </c>
      <c r="I3521" s="4" t="s">
        <v>10812</v>
      </c>
      <c r="J3521" s="4" t="s">
        <v>10813</v>
      </c>
      <c r="K3521" s="4" t="s">
        <v>11226</v>
      </c>
      <c r="L3521" s="5">
        <v>54352</v>
      </c>
    </row>
    <row r="3522" spans="1:12" x14ac:dyDescent="0.25">
      <c r="A3522" s="3" t="s">
        <v>10786</v>
      </c>
      <c r="B3522" s="4" t="s">
        <v>10787</v>
      </c>
      <c r="C3522" s="4" t="s">
        <v>14</v>
      </c>
      <c r="D3522" s="4" t="s">
        <v>15</v>
      </c>
      <c r="E3522" s="5" t="str">
        <f>"9190088"</f>
        <v>9190088</v>
      </c>
      <c r="F3522" s="3" t="s">
        <v>11227</v>
      </c>
      <c r="G3522" s="5">
        <v>2310272500</v>
      </c>
      <c r="H3522" s="4" t="s">
        <v>11228</v>
      </c>
      <c r="I3522" s="4" t="s">
        <v>10812</v>
      </c>
      <c r="J3522" s="4" t="s">
        <v>10813</v>
      </c>
      <c r="K3522" s="4" t="s">
        <v>11229</v>
      </c>
      <c r="L3522" s="5">
        <v>54633</v>
      </c>
    </row>
    <row r="3523" spans="1:12" x14ac:dyDescent="0.25">
      <c r="A3523" s="3" t="s">
        <v>10786</v>
      </c>
      <c r="B3523" s="4" t="s">
        <v>10787</v>
      </c>
      <c r="C3523" s="4" t="s">
        <v>14</v>
      </c>
      <c r="D3523" s="4" t="s">
        <v>15</v>
      </c>
      <c r="E3523" s="5" t="str">
        <f>"9190174"</f>
        <v>9190174</v>
      </c>
      <c r="F3523" s="3" t="s">
        <v>11230</v>
      </c>
      <c r="G3523" s="5">
        <v>2310238050</v>
      </c>
      <c r="H3523" s="4" t="s">
        <v>11231</v>
      </c>
      <c r="I3523" s="4" t="s">
        <v>10812</v>
      </c>
      <c r="J3523" s="4" t="s">
        <v>10813</v>
      </c>
      <c r="K3523" s="4" t="s">
        <v>11232</v>
      </c>
      <c r="L3523" s="5">
        <v>54635</v>
      </c>
    </row>
    <row r="3524" spans="1:12" x14ac:dyDescent="0.25">
      <c r="A3524" s="3" t="s">
        <v>10786</v>
      </c>
      <c r="B3524" s="4" t="s">
        <v>10787</v>
      </c>
      <c r="C3524" s="4" t="s">
        <v>14</v>
      </c>
      <c r="D3524" s="4" t="s">
        <v>15</v>
      </c>
      <c r="E3524" s="5" t="str">
        <f>"9190050"</f>
        <v>9190050</v>
      </c>
      <c r="F3524" s="3" t="s">
        <v>11233</v>
      </c>
      <c r="G3524" s="5">
        <v>2310221810</v>
      </c>
      <c r="H3524" s="4" t="s">
        <v>11234</v>
      </c>
      <c r="I3524" s="4" t="s">
        <v>10812</v>
      </c>
      <c r="J3524" s="4" t="s">
        <v>10813</v>
      </c>
      <c r="K3524" s="4" t="s">
        <v>10828</v>
      </c>
      <c r="L3524" s="5">
        <v>54622</v>
      </c>
    </row>
    <row r="3525" spans="1:12" x14ac:dyDescent="0.25">
      <c r="A3525" s="3" t="s">
        <v>10786</v>
      </c>
      <c r="B3525" s="4" t="s">
        <v>10787</v>
      </c>
      <c r="C3525" s="4" t="s">
        <v>25</v>
      </c>
      <c r="D3525" s="4" t="s">
        <v>26</v>
      </c>
      <c r="E3525" s="5" t="str">
        <f>"9190568"</f>
        <v>9190568</v>
      </c>
      <c r="F3525" s="3" t="s">
        <v>11235</v>
      </c>
      <c r="G3525" s="5">
        <v>2310432402</v>
      </c>
      <c r="H3525" s="4" t="s">
        <v>11236</v>
      </c>
      <c r="I3525" s="4" t="s">
        <v>10790</v>
      </c>
      <c r="J3525" s="4" t="s">
        <v>10791</v>
      </c>
      <c r="K3525" s="4" t="s">
        <v>11237</v>
      </c>
      <c r="L3525" s="5">
        <v>55134</v>
      </c>
    </row>
    <row r="3526" spans="1:12" x14ac:dyDescent="0.25">
      <c r="A3526" s="3" t="s">
        <v>10786</v>
      </c>
      <c r="B3526" s="4" t="s">
        <v>10787</v>
      </c>
      <c r="C3526" s="4" t="s">
        <v>25</v>
      </c>
      <c r="D3526" s="4" t="s">
        <v>26</v>
      </c>
      <c r="E3526" s="5" t="str">
        <f>"9190007"</f>
        <v>9190007</v>
      </c>
      <c r="F3526" s="3" t="s">
        <v>11238</v>
      </c>
      <c r="G3526" s="5">
        <v>2310813265</v>
      </c>
      <c r="H3526" s="4" t="s">
        <v>11239</v>
      </c>
      <c r="I3526" s="4" t="s">
        <v>10812</v>
      </c>
      <c r="J3526" s="4" t="s">
        <v>10813</v>
      </c>
      <c r="K3526" s="4" t="s">
        <v>11240</v>
      </c>
      <c r="L3526" s="5">
        <v>54248</v>
      </c>
    </row>
    <row r="3527" spans="1:12" x14ac:dyDescent="0.25">
      <c r="A3527" s="3" t="s">
        <v>10786</v>
      </c>
      <c r="B3527" s="4" t="s">
        <v>10787</v>
      </c>
      <c r="C3527" s="4" t="s">
        <v>25</v>
      </c>
      <c r="D3527" s="4" t="s">
        <v>26</v>
      </c>
      <c r="E3527" s="5" t="str">
        <f>"9190018"</f>
        <v>9190018</v>
      </c>
      <c r="F3527" s="3" t="s">
        <v>11241</v>
      </c>
      <c r="G3527" s="5">
        <v>2310426648</v>
      </c>
      <c r="H3527" s="4" t="s">
        <v>11242</v>
      </c>
      <c r="I3527" s="4" t="s">
        <v>10790</v>
      </c>
      <c r="J3527" s="4" t="s">
        <v>10791</v>
      </c>
      <c r="K3527" s="4" t="s">
        <v>11243</v>
      </c>
      <c r="L3527" s="5">
        <v>55131</v>
      </c>
    </row>
    <row r="3528" spans="1:12" x14ac:dyDescent="0.25">
      <c r="A3528" s="3" t="s">
        <v>10786</v>
      </c>
      <c r="B3528" s="4" t="s">
        <v>10787</v>
      </c>
      <c r="C3528" s="4" t="s">
        <v>25</v>
      </c>
      <c r="D3528" s="4" t="s">
        <v>26</v>
      </c>
      <c r="E3528" s="5" t="str">
        <f>"9190053"</f>
        <v>9190053</v>
      </c>
      <c r="F3528" s="3" t="s">
        <v>11244</v>
      </c>
      <c r="G3528" s="5">
        <v>2310918706</v>
      </c>
      <c r="H3528" s="4" t="s">
        <v>11245</v>
      </c>
      <c r="I3528" s="4" t="s">
        <v>10812</v>
      </c>
      <c r="J3528" s="4" t="s">
        <v>10813</v>
      </c>
      <c r="K3528" s="4" t="s">
        <v>11246</v>
      </c>
      <c r="L3528" s="5">
        <v>54644</v>
      </c>
    </row>
    <row r="3529" spans="1:12" x14ac:dyDescent="0.25">
      <c r="A3529" s="3" t="s">
        <v>10786</v>
      </c>
      <c r="B3529" s="4" t="s">
        <v>10787</v>
      </c>
      <c r="C3529" s="4" t="s">
        <v>14</v>
      </c>
      <c r="D3529" s="4" t="s">
        <v>15</v>
      </c>
      <c r="E3529" s="5" t="str">
        <f>"9190183"</f>
        <v>9190183</v>
      </c>
      <c r="F3529" s="3" t="s">
        <v>11247</v>
      </c>
      <c r="G3529" s="5">
        <v>2310205090</v>
      </c>
      <c r="H3529" s="4" t="s">
        <v>11248</v>
      </c>
      <c r="I3529" s="4" t="s">
        <v>10812</v>
      </c>
      <c r="J3529" s="4" t="s">
        <v>10813</v>
      </c>
      <c r="K3529" s="4" t="s">
        <v>11059</v>
      </c>
      <c r="L3529" s="5">
        <v>54634</v>
      </c>
    </row>
    <row r="3530" spans="1:12" x14ac:dyDescent="0.25">
      <c r="A3530" s="3" t="s">
        <v>10786</v>
      </c>
      <c r="B3530" s="4" t="s">
        <v>10787</v>
      </c>
      <c r="C3530" s="4" t="s">
        <v>25</v>
      </c>
      <c r="D3530" s="4" t="s">
        <v>26</v>
      </c>
      <c r="E3530" s="5" t="str">
        <f>"9190445"</f>
        <v>9190445</v>
      </c>
      <c r="F3530" s="3" t="s">
        <v>11249</v>
      </c>
      <c r="G3530" s="5">
        <v>2310313666</v>
      </c>
      <c r="H3530" s="4" t="s">
        <v>11250</v>
      </c>
      <c r="I3530" s="4" t="s">
        <v>10812</v>
      </c>
      <c r="J3530" s="4" t="s">
        <v>10813</v>
      </c>
      <c r="K3530" s="4" t="s">
        <v>11251</v>
      </c>
      <c r="L3530" s="5">
        <v>54250</v>
      </c>
    </row>
    <row r="3531" spans="1:12" x14ac:dyDescent="0.25">
      <c r="A3531" s="3" t="s">
        <v>10786</v>
      </c>
      <c r="B3531" s="4" t="s">
        <v>10787</v>
      </c>
      <c r="C3531" s="4" t="s">
        <v>14</v>
      </c>
      <c r="D3531" s="4" t="s">
        <v>15</v>
      </c>
      <c r="E3531" s="5" t="str">
        <f>"9190145"</f>
        <v>9190145</v>
      </c>
      <c r="F3531" s="3" t="s">
        <v>11252</v>
      </c>
      <c r="G3531" s="5">
        <v>2310516890</v>
      </c>
      <c r="H3531" s="4" t="s">
        <v>11253</v>
      </c>
      <c r="I3531" s="4" t="s">
        <v>10812</v>
      </c>
      <c r="J3531" s="4" t="s">
        <v>10813</v>
      </c>
      <c r="K3531" s="4" t="s">
        <v>11254</v>
      </c>
      <c r="L3531" s="5">
        <v>54627</v>
      </c>
    </row>
    <row r="3532" spans="1:12" x14ac:dyDescent="0.25">
      <c r="A3532" s="3" t="s">
        <v>10786</v>
      </c>
      <c r="B3532" s="4" t="s">
        <v>10787</v>
      </c>
      <c r="C3532" s="4" t="s">
        <v>14</v>
      </c>
      <c r="D3532" s="4" t="s">
        <v>15</v>
      </c>
      <c r="E3532" s="5" t="str">
        <f>"9190193"</f>
        <v>9190193</v>
      </c>
      <c r="F3532" s="3" t="s">
        <v>11255</v>
      </c>
      <c r="G3532" s="5">
        <v>2310912154</v>
      </c>
      <c r="H3532" s="4" t="s">
        <v>11256</v>
      </c>
      <c r="I3532" s="4" t="s">
        <v>10812</v>
      </c>
      <c r="J3532" s="4" t="s">
        <v>11008</v>
      </c>
      <c r="K3532" s="4" t="s">
        <v>11257</v>
      </c>
      <c r="L3532" s="5">
        <v>55337</v>
      </c>
    </row>
    <row r="3533" spans="1:12" ht="30" x14ac:dyDescent="0.25">
      <c r="A3533" s="3" t="s">
        <v>10786</v>
      </c>
      <c r="B3533" s="4" t="s">
        <v>10787</v>
      </c>
      <c r="C3533" s="4" t="s">
        <v>14</v>
      </c>
      <c r="D3533" s="4" t="s">
        <v>15</v>
      </c>
      <c r="E3533" s="5" t="str">
        <f>"9190049"</f>
        <v>9190049</v>
      </c>
      <c r="F3533" s="3" t="s">
        <v>11258</v>
      </c>
      <c r="G3533" s="5">
        <v>2310270307</v>
      </c>
      <c r="H3533" s="4" t="s">
        <v>11259</v>
      </c>
      <c r="I3533" s="4" t="s">
        <v>10812</v>
      </c>
      <c r="J3533" s="4" t="s">
        <v>11260</v>
      </c>
      <c r="K3533" s="4" t="s">
        <v>10820</v>
      </c>
      <c r="L3533" s="5">
        <v>54621</v>
      </c>
    </row>
    <row r="3534" spans="1:12" x14ac:dyDescent="0.25">
      <c r="A3534" s="3" t="s">
        <v>10786</v>
      </c>
      <c r="B3534" s="4" t="s">
        <v>10787</v>
      </c>
      <c r="C3534" s="4" t="s">
        <v>14</v>
      </c>
      <c r="D3534" s="4" t="s">
        <v>15</v>
      </c>
      <c r="E3534" s="5" t="str">
        <f>"9190194"</f>
        <v>9190194</v>
      </c>
      <c r="F3534" s="3" t="s">
        <v>11261</v>
      </c>
      <c r="G3534" s="5">
        <v>2311236477</v>
      </c>
      <c r="H3534" s="4" t="s">
        <v>11262</v>
      </c>
      <c r="I3534" s="4" t="s">
        <v>10812</v>
      </c>
      <c r="J3534" s="4" t="s">
        <v>11008</v>
      </c>
      <c r="K3534" s="4" t="s">
        <v>11263</v>
      </c>
      <c r="L3534" s="5">
        <v>55337</v>
      </c>
    </row>
    <row r="3535" spans="1:12" x14ac:dyDescent="0.25">
      <c r="A3535" s="3" t="s">
        <v>10786</v>
      </c>
      <c r="B3535" s="4" t="s">
        <v>10787</v>
      </c>
      <c r="C3535" s="4" t="s">
        <v>14</v>
      </c>
      <c r="D3535" s="4" t="s">
        <v>15</v>
      </c>
      <c r="E3535" s="5" t="str">
        <f>"9190363"</f>
        <v>9190363</v>
      </c>
      <c r="F3535" s="3" t="s">
        <v>11264</v>
      </c>
      <c r="G3535" s="5">
        <v>2392031238</v>
      </c>
      <c r="H3535" s="4" t="s">
        <v>11265</v>
      </c>
      <c r="I3535" s="4" t="s">
        <v>10898</v>
      </c>
      <c r="J3535" s="4" t="s">
        <v>11111</v>
      </c>
      <c r="K3535" s="4" t="s">
        <v>11266</v>
      </c>
      <c r="L3535" s="5">
        <v>57004</v>
      </c>
    </row>
    <row r="3536" spans="1:12" x14ac:dyDescent="0.25">
      <c r="A3536" s="3" t="s">
        <v>10786</v>
      </c>
      <c r="B3536" s="4" t="s">
        <v>10787</v>
      </c>
      <c r="C3536" s="4" t="s">
        <v>14</v>
      </c>
      <c r="D3536" s="4" t="s">
        <v>15</v>
      </c>
      <c r="E3536" s="5" t="str">
        <f>"9190357"</f>
        <v>9190357</v>
      </c>
      <c r="F3536" s="3" t="s">
        <v>11267</v>
      </c>
      <c r="G3536" s="5">
        <v>2392091989</v>
      </c>
      <c r="H3536" s="4" t="s">
        <v>11268</v>
      </c>
      <c r="I3536" s="4" t="s">
        <v>10804</v>
      </c>
      <c r="J3536" s="4" t="s">
        <v>11269</v>
      </c>
      <c r="K3536" s="4" t="s">
        <v>11270</v>
      </c>
      <c r="L3536" s="5">
        <v>57500</v>
      </c>
    </row>
    <row r="3537" spans="1:12" x14ac:dyDescent="0.25">
      <c r="A3537" s="3" t="s">
        <v>10786</v>
      </c>
      <c r="B3537" s="4" t="s">
        <v>10787</v>
      </c>
      <c r="C3537" s="4" t="s">
        <v>25</v>
      </c>
      <c r="D3537" s="4" t="s">
        <v>26</v>
      </c>
      <c r="E3537" s="5" t="str">
        <f>"9190580"</f>
        <v>9190580</v>
      </c>
      <c r="F3537" s="3" t="s">
        <v>11271</v>
      </c>
      <c r="G3537" s="5">
        <v>2310411738</v>
      </c>
      <c r="H3537" s="4" t="s">
        <v>11272</v>
      </c>
      <c r="I3537" s="4" t="s">
        <v>10812</v>
      </c>
      <c r="J3537" s="4" t="s">
        <v>10813</v>
      </c>
      <c r="K3537" s="4" t="s">
        <v>11273</v>
      </c>
      <c r="L3537" s="5">
        <v>54646</v>
      </c>
    </row>
    <row r="3538" spans="1:12" x14ac:dyDescent="0.25">
      <c r="A3538" s="3" t="s">
        <v>10786</v>
      </c>
      <c r="B3538" s="4" t="s">
        <v>10787</v>
      </c>
      <c r="C3538" s="4" t="s">
        <v>14</v>
      </c>
      <c r="D3538" s="4" t="s">
        <v>15</v>
      </c>
      <c r="E3538" s="5" t="str">
        <f>"9190376"</f>
        <v>9190376</v>
      </c>
      <c r="F3538" s="3" t="s">
        <v>11274</v>
      </c>
      <c r="G3538" s="5">
        <v>2310677128</v>
      </c>
      <c r="H3538" s="4" t="s">
        <v>11275</v>
      </c>
      <c r="I3538" s="4" t="s">
        <v>10823</v>
      </c>
      <c r="J3538" s="4" t="s">
        <v>11122</v>
      </c>
      <c r="K3538" s="4" t="s">
        <v>11276</v>
      </c>
      <c r="L3538" s="5">
        <v>57010</v>
      </c>
    </row>
    <row r="3539" spans="1:12" x14ac:dyDescent="0.25">
      <c r="A3539" s="3" t="s">
        <v>10786</v>
      </c>
      <c r="B3539" s="4" t="s">
        <v>10787</v>
      </c>
      <c r="C3539" s="4" t="s">
        <v>25</v>
      </c>
      <c r="D3539" s="4" t="s">
        <v>26</v>
      </c>
      <c r="E3539" s="5" t="str">
        <f>"9190744"</f>
        <v>9190744</v>
      </c>
      <c r="F3539" s="3" t="s">
        <v>11277</v>
      </c>
      <c r="G3539" s="5">
        <v>2310327881</v>
      </c>
      <c r="H3539" s="4" t="s">
        <v>11278</v>
      </c>
      <c r="I3539" s="4" t="s">
        <v>10812</v>
      </c>
      <c r="J3539" s="4" t="s">
        <v>10813</v>
      </c>
      <c r="K3539" s="4" t="s">
        <v>11126</v>
      </c>
      <c r="L3539" s="5">
        <v>54249</v>
      </c>
    </row>
    <row r="3540" spans="1:12" x14ac:dyDescent="0.25">
      <c r="A3540" s="3" t="s">
        <v>10786</v>
      </c>
      <c r="B3540" s="4" t="s">
        <v>10787</v>
      </c>
      <c r="C3540" s="4" t="s">
        <v>14</v>
      </c>
      <c r="D3540" s="4" t="s">
        <v>15</v>
      </c>
      <c r="E3540" s="5" t="str">
        <f>"9190900"</f>
        <v>9190900</v>
      </c>
      <c r="F3540" s="3" t="s">
        <v>11279</v>
      </c>
      <c r="G3540" s="5">
        <v>2311232529</v>
      </c>
      <c r="H3540" s="4" t="s">
        <v>11280</v>
      </c>
      <c r="I3540" s="4" t="s">
        <v>10823</v>
      </c>
      <c r="J3540" s="4" t="s">
        <v>10835</v>
      </c>
      <c r="K3540" s="4" t="s">
        <v>11281</v>
      </c>
      <c r="L3540" s="5">
        <v>57001</v>
      </c>
    </row>
    <row r="3541" spans="1:12" x14ac:dyDescent="0.25">
      <c r="A3541" s="3" t="s">
        <v>10786</v>
      </c>
      <c r="B3541" s="4" t="s">
        <v>10787</v>
      </c>
      <c r="C3541" s="4" t="s">
        <v>14</v>
      </c>
      <c r="D3541" s="4" t="s">
        <v>15</v>
      </c>
      <c r="E3541" s="5" t="str">
        <f>"9190041"</f>
        <v>9190041</v>
      </c>
      <c r="F3541" s="3" t="s">
        <v>11282</v>
      </c>
      <c r="G3541" s="5">
        <v>2310911797</v>
      </c>
      <c r="H3541" s="4" t="s">
        <v>11283</v>
      </c>
      <c r="I3541" s="4" t="s">
        <v>10812</v>
      </c>
      <c r="J3541" s="4" t="s">
        <v>11284</v>
      </c>
      <c r="K3541" s="4" t="s">
        <v>11285</v>
      </c>
      <c r="L3541" s="5">
        <v>54453</v>
      </c>
    </row>
    <row r="3542" spans="1:12" x14ac:dyDescent="0.25">
      <c r="A3542" s="3" t="s">
        <v>10786</v>
      </c>
      <c r="B3542" s="4" t="s">
        <v>10787</v>
      </c>
      <c r="C3542" s="4" t="s">
        <v>14</v>
      </c>
      <c r="D3542" s="4" t="s">
        <v>15</v>
      </c>
      <c r="E3542" s="5" t="str">
        <f>"9190169"</f>
        <v>9190169</v>
      </c>
      <c r="F3542" s="3" t="s">
        <v>11286</v>
      </c>
      <c r="G3542" s="5">
        <v>2310934600</v>
      </c>
      <c r="H3542" s="4" t="s">
        <v>11287</v>
      </c>
      <c r="I3542" s="4" t="s">
        <v>10812</v>
      </c>
      <c r="J3542" s="4" t="s">
        <v>10813</v>
      </c>
      <c r="K3542" s="4" t="s">
        <v>11132</v>
      </c>
      <c r="L3542" s="5">
        <v>54351</v>
      </c>
    </row>
    <row r="3543" spans="1:12" x14ac:dyDescent="0.25">
      <c r="A3543" s="3" t="s">
        <v>10786</v>
      </c>
      <c r="B3543" s="4" t="s">
        <v>10787</v>
      </c>
      <c r="C3543" s="4" t="s">
        <v>14</v>
      </c>
      <c r="D3543" s="4" t="s">
        <v>15</v>
      </c>
      <c r="E3543" s="5" t="str">
        <f>"9190170"</f>
        <v>9190170</v>
      </c>
      <c r="F3543" s="3" t="s">
        <v>11288</v>
      </c>
      <c r="G3543" s="5">
        <v>2310912197</v>
      </c>
      <c r="H3543" s="4" t="s">
        <v>11289</v>
      </c>
      <c r="I3543" s="4" t="s">
        <v>10812</v>
      </c>
      <c r="J3543" s="4" t="s">
        <v>10813</v>
      </c>
      <c r="K3543" s="4" t="s">
        <v>11290</v>
      </c>
      <c r="L3543" s="5">
        <v>54351</v>
      </c>
    </row>
    <row r="3544" spans="1:12" x14ac:dyDescent="0.25">
      <c r="A3544" s="3" t="s">
        <v>10786</v>
      </c>
      <c r="B3544" s="4" t="s">
        <v>10787</v>
      </c>
      <c r="C3544" s="4" t="s">
        <v>14</v>
      </c>
      <c r="D3544" s="4" t="s">
        <v>15</v>
      </c>
      <c r="E3544" s="5" t="str">
        <f>"9190045"</f>
        <v>9190045</v>
      </c>
      <c r="F3544" s="3" t="s">
        <v>11291</v>
      </c>
      <c r="G3544" s="5">
        <v>2310920135</v>
      </c>
      <c r="H3544" s="4" t="s">
        <v>11292</v>
      </c>
      <c r="I3544" s="4" t="s">
        <v>10812</v>
      </c>
      <c r="J3544" s="4" t="s">
        <v>10813</v>
      </c>
      <c r="K3544" s="4" t="s">
        <v>10817</v>
      </c>
      <c r="L3544" s="5">
        <v>54453</v>
      </c>
    </row>
    <row r="3545" spans="1:12" x14ac:dyDescent="0.25">
      <c r="A3545" s="3" t="s">
        <v>10786</v>
      </c>
      <c r="B3545" s="4" t="s">
        <v>10787</v>
      </c>
      <c r="C3545" s="4" t="s">
        <v>14</v>
      </c>
      <c r="D3545" s="4" t="s">
        <v>15</v>
      </c>
      <c r="E3545" s="5" t="str">
        <f>"9190551"</f>
        <v>9190551</v>
      </c>
      <c r="F3545" s="3" t="s">
        <v>11293</v>
      </c>
      <c r="G3545" s="5">
        <v>2310927743</v>
      </c>
      <c r="H3545" s="4" t="s">
        <v>11294</v>
      </c>
      <c r="I3545" s="4" t="s">
        <v>10812</v>
      </c>
      <c r="J3545" s="4" t="s">
        <v>10813</v>
      </c>
      <c r="K3545" s="4" t="s">
        <v>11295</v>
      </c>
      <c r="L3545" s="5">
        <v>54454</v>
      </c>
    </row>
    <row r="3546" spans="1:12" x14ac:dyDescent="0.25">
      <c r="A3546" s="3" t="s">
        <v>10786</v>
      </c>
      <c r="B3546" s="4" t="s">
        <v>10787</v>
      </c>
      <c r="C3546" s="4" t="s">
        <v>14</v>
      </c>
      <c r="D3546" s="4" t="s">
        <v>15</v>
      </c>
      <c r="E3546" s="5" t="str">
        <f>"9190046"</f>
        <v>9190046</v>
      </c>
      <c r="F3546" s="3" t="s">
        <v>11296</v>
      </c>
      <c r="G3546" s="5">
        <v>2310912175</v>
      </c>
      <c r="H3546" s="4" t="s">
        <v>11297</v>
      </c>
      <c r="I3546" s="4" t="s">
        <v>10812</v>
      </c>
      <c r="J3546" s="4" t="s">
        <v>10813</v>
      </c>
      <c r="K3546" s="4" t="s">
        <v>11298</v>
      </c>
      <c r="L3546" s="5">
        <v>54638</v>
      </c>
    </row>
    <row r="3547" spans="1:12" x14ac:dyDescent="0.25">
      <c r="A3547" s="3" t="s">
        <v>10786</v>
      </c>
      <c r="B3547" s="4" t="s">
        <v>10787</v>
      </c>
      <c r="C3547" s="4" t="s">
        <v>25</v>
      </c>
      <c r="D3547" s="4" t="s">
        <v>26</v>
      </c>
      <c r="E3547" s="5" t="str">
        <f>"9190670"</f>
        <v>9190670</v>
      </c>
      <c r="F3547" s="3" t="s">
        <v>11299</v>
      </c>
      <c r="G3547" s="5">
        <v>2310447961</v>
      </c>
      <c r="H3547" s="4" t="s">
        <v>11300</v>
      </c>
      <c r="I3547" s="4" t="s">
        <v>10790</v>
      </c>
      <c r="J3547" s="4" t="s">
        <v>10791</v>
      </c>
      <c r="K3547" s="4" t="s">
        <v>10926</v>
      </c>
      <c r="L3547" s="5">
        <v>55132</v>
      </c>
    </row>
    <row r="3548" spans="1:12" x14ac:dyDescent="0.25">
      <c r="A3548" s="3" t="s">
        <v>10786</v>
      </c>
      <c r="B3548" s="4" t="s">
        <v>10787</v>
      </c>
      <c r="C3548" s="4" t="s">
        <v>14</v>
      </c>
      <c r="D3548" s="4" t="s">
        <v>15</v>
      </c>
      <c r="E3548" s="5" t="str">
        <f>"9190167"</f>
        <v>9190167</v>
      </c>
      <c r="F3548" s="3" t="s">
        <v>11301</v>
      </c>
      <c r="G3548" s="5">
        <v>2310912334</v>
      </c>
      <c r="H3548" s="4" t="s">
        <v>11302</v>
      </c>
      <c r="I3548" s="4" t="s">
        <v>10812</v>
      </c>
      <c r="J3548" s="4" t="s">
        <v>10813</v>
      </c>
      <c r="K3548" s="4" t="s">
        <v>11303</v>
      </c>
      <c r="L3548" s="5">
        <v>54351</v>
      </c>
    </row>
    <row r="3549" spans="1:12" x14ac:dyDescent="0.25">
      <c r="A3549" s="3" t="s">
        <v>10786</v>
      </c>
      <c r="B3549" s="4" t="s">
        <v>10787</v>
      </c>
      <c r="C3549" s="4" t="s">
        <v>25</v>
      </c>
      <c r="D3549" s="4" t="s">
        <v>26</v>
      </c>
      <c r="E3549" s="5" t="str">
        <f>"9190563"</f>
        <v>9190563</v>
      </c>
      <c r="F3549" s="3" t="s">
        <v>11304</v>
      </c>
      <c r="G3549" s="5">
        <v>2310825743</v>
      </c>
      <c r="H3549" s="4" t="s">
        <v>11305</v>
      </c>
      <c r="I3549" s="4" t="s">
        <v>10812</v>
      </c>
      <c r="J3549" s="4" t="s">
        <v>10813</v>
      </c>
      <c r="K3549" s="4" t="s">
        <v>10852</v>
      </c>
      <c r="L3549" s="5">
        <v>54248</v>
      </c>
    </row>
    <row r="3550" spans="1:12" x14ac:dyDescent="0.25">
      <c r="A3550" s="3" t="s">
        <v>10786</v>
      </c>
      <c r="B3550" s="4" t="s">
        <v>10787</v>
      </c>
      <c r="C3550" s="4" t="s">
        <v>25</v>
      </c>
      <c r="D3550" s="4" t="s">
        <v>26</v>
      </c>
      <c r="E3550" s="5" t="str">
        <f>"9190569"</f>
        <v>9190569</v>
      </c>
      <c r="F3550" s="3" t="s">
        <v>11306</v>
      </c>
      <c r="G3550" s="5">
        <v>2316028734</v>
      </c>
      <c r="H3550" s="4" t="s">
        <v>11307</v>
      </c>
      <c r="I3550" s="4" t="s">
        <v>10812</v>
      </c>
      <c r="J3550" s="4" t="s">
        <v>10813</v>
      </c>
      <c r="K3550" s="4" t="s">
        <v>11308</v>
      </c>
      <c r="L3550" s="5">
        <v>54642</v>
      </c>
    </row>
    <row r="3551" spans="1:12" x14ac:dyDescent="0.25">
      <c r="A3551" s="3" t="s">
        <v>10786</v>
      </c>
      <c r="B3551" s="4" t="s">
        <v>10787</v>
      </c>
      <c r="C3551" s="4" t="s">
        <v>25</v>
      </c>
      <c r="D3551" s="4" t="s">
        <v>26</v>
      </c>
      <c r="E3551" s="5" t="str">
        <f>"9190672"</f>
        <v>9190672</v>
      </c>
      <c r="F3551" s="3" t="s">
        <v>11309</v>
      </c>
      <c r="G3551" s="5">
        <v>2310304344</v>
      </c>
      <c r="H3551" s="4" t="s">
        <v>11310</v>
      </c>
      <c r="I3551" s="4" t="s">
        <v>10812</v>
      </c>
      <c r="J3551" s="4" t="s">
        <v>10813</v>
      </c>
      <c r="K3551" s="4" t="s">
        <v>11311</v>
      </c>
      <c r="L3551" s="5">
        <v>54249</v>
      </c>
    </row>
    <row r="3552" spans="1:12" x14ac:dyDescent="0.25">
      <c r="A3552" s="3" t="s">
        <v>10786</v>
      </c>
      <c r="B3552" s="4" t="s">
        <v>10787</v>
      </c>
      <c r="C3552" s="4" t="s">
        <v>25</v>
      </c>
      <c r="D3552" s="4" t="s">
        <v>26</v>
      </c>
      <c r="E3552" s="5" t="str">
        <f>"9190576"</f>
        <v>9190576</v>
      </c>
      <c r="F3552" s="3" t="s">
        <v>11312</v>
      </c>
      <c r="G3552" s="5">
        <v>2316070571</v>
      </c>
      <c r="H3552" s="4" t="s">
        <v>11313</v>
      </c>
      <c r="I3552" s="4" t="s">
        <v>10812</v>
      </c>
      <c r="J3552" s="4" t="s">
        <v>10813</v>
      </c>
      <c r="K3552" s="4" t="s">
        <v>11314</v>
      </c>
      <c r="L3552" s="5">
        <v>54248</v>
      </c>
    </row>
    <row r="3553" spans="1:12" x14ac:dyDescent="0.25">
      <c r="A3553" s="3" t="s">
        <v>10786</v>
      </c>
      <c r="B3553" s="4" t="s">
        <v>10787</v>
      </c>
      <c r="C3553" s="4" t="s">
        <v>25</v>
      </c>
      <c r="D3553" s="4" t="s">
        <v>26</v>
      </c>
      <c r="E3553" s="5" t="str">
        <f>"9190766"</f>
        <v>9190766</v>
      </c>
      <c r="F3553" s="3" t="s">
        <v>11315</v>
      </c>
      <c r="G3553" s="5">
        <v>2310846234</v>
      </c>
      <c r="H3553" s="4" t="s">
        <v>11316</v>
      </c>
      <c r="I3553" s="4" t="s">
        <v>10812</v>
      </c>
      <c r="J3553" s="4" t="s">
        <v>10813</v>
      </c>
      <c r="K3553" s="4" t="s">
        <v>11317</v>
      </c>
      <c r="L3553" s="5">
        <v>54643</v>
      </c>
    </row>
    <row r="3554" spans="1:12" ht="30" x14ac:dyDescent="0.25">
      <c r="A3554" s="3" t="s">
        <v>10786</v>
      </c>
      <c r="B3554" s="4" t="s">
        <v>10787</v>
      </c>
      <c r="C3554" s="4" t="s">
        <v>14</v>
      </c>
      <c r="D3554" s="4" t="s">
        <v>830</v>
      </c>
      <c r="E3554" s="5" t="str">
        <f>"9190412"</f>
        <v>9190412</v>
      </c>
      <c r="F3554" s="3" t="s">
        <v>11318</v>
      </c>
      <c r="G3554" s="5">
        <v>2310225697</v>
      </c>
      <c r="H3554" s="4" t="s">
        <v>11319</v>
      </c>
      <c r="I3554" s="4" t="s">
        <v>10812</v>
      </c>
      <c r="J3554" s="4" t="s">
        <v>10813</v>
      </c>
      <c r="K3554" s="4" t="s">
        <v>11320</v>
      </c>
      <c r="L3554" s="5">
        <v>54631</v>
      </c>
    </row>
    <row r="3555" spans="1:12" x14ac:dyDescent="0.25">
      <c r="A3555" s="3" t="s">
        <v>10786</v>
      </c>
      <c r="B3555" s="4" t="s">
        <v>10787</v>
      </c>
      <c r="C3555" s="4" t="s">
        <v>14</v>
      </c>
      <c r="D3555" s="4" t="s">
        <v>15</v>
      </c>
      <c r="E3555" s="5" t="str">
        <f>"9190639"</f>
        <v>9190639</v>
      </c>
      <c r="F3555" s="3" t="s">
        <v>11321</v>
      </c>
      <c r="G3555" s="5">
        <v>2310936946</v>
      </c>
      <c r="H3555" s="4" t="s">
        <v>11322</v>
      </c>
      <c r="I3555" s="4" t="s">
        <v>10812</v>
      </c>
      <c r="J3555" s="4" t="s">
        <v>11008</v>
      </c>
      <c r="K3555" s="4" t="s">
        <v>11323</v>
      </c>
      <c r="L3555" s="5">
        <v>55337</v>
      </c>
    </row>
    <row r="3556" spans="1:12" x14ac:dyDescent="0.25">
      <c r="A3556" s="3" t="s">
        <v>10786</v>
      </c>
      <c r="B3556" s="4" t="s">
        <v>10787</v>
      </c>
      <c r="C3556" s="4" t="s">
        <v>25</v>
      </c>
      <c r="D3556" s="4" t="s">
        <v>26</v>
      </c>
      <c r="E3556" s="5" t="str">
        <f>"9190002"</f>
        <v>9190002</v>
      </c>
      <c r="F3556" s="3" t="s">
        <v>11324</v>
      </c>
      <c r="G3556" s="5">
        <v>2310411262</v>
      </c>
      <c r="H3556" s="4" t="s">
        <v>11325</v>
      </c>
      <c r="I3556" s="4" t="s">
        <v>10812</v>
      </c>
      <c r="J3556" s="4" t="s">
        <v>10813</v>
      </c>
      <c r="K3556" s="4" t="s">
        <v>11326</v>
      </c>
      <c r="L3556" s="5">
        <v>54248</v>
      </c>
    </row>
    <row r="3557" spans="1:12" x14ac:dyDescent="0.25">
      <c r="A3557" s="3" t="s">
        <v>10786</v>
      </c>
      <c r="B3557" s="4" t="s">
        <v>10787</v>
      </c>
      <c r="C3557" s="4" t="s">
        <v>25</v>
      </c>
      <c r="D3557" s="4" t="s">
        <v>7493</v>
      </c>
      <c r="E3557" s="5" t="str">
        <f>"9190494"</f>
        <v>9190494</v>
      </c>
      <c r="F3557" s="3" t="s">
        <v>11327</v>
      </c>
      <c r="G3557" s="5">
        <v>2310342333</v>
      </c>
      <c r="H3557" s="4" t="s">
        <v>11328</v>
      </c>
      <c r="I3557" s="4" t="s">
        <v>10823</v>
      </c>
      <c r="J3557" s="4" t="s">
        <v>10864</v>
      </c>
      <c r="K3557" s="4" t="s">
        <v>11329</v>
      </c>
      <c r="L3557" s="5">
        <v>55236</v>
      </c>
    </row>
    <row r="3558" spans="1:12" x14ac:dyDescent="0.25">
      <c r="A3558" s="3" t="s">
        <v>10786</v>
      </c>
      <c r="B3558" s="4" t="s">
        <v>10787</v>
      </c>
      <c r="C3558" s="4" t="s">
        <v>14</v>
      </c>
      <c r="D3558" s="4" t="s">
        <v>15</v>
      </c>
      <c r="E3558" s="5" t="str">
        <f>"9190637"</f>
        <v>9190637</v>
      </c>
      <c r="F3558" s="3" t="s">
        <v>11330</v>
      </c>
      <c r="G3558" s="5">
        <v>2310929160</v>
      </c>
      <c r="H3558" s="4" t="s">
        <v>11331</v>
      </c>
      <c r="I3558" s="4" t="s">
        <v>10812</v>
      </c>
      <c r="J3558" s="4" t="s">
        <v>10813</v>
      </c>
      <c r="K3558" s="4" t="s">
        <v>11332</v>
      </c>
      <c r="L3558" s="5">
        <v>54351</v>
      </c>
    </row>
    <row r="3559" spans="1:12" x14ac:dyDescent="0.25">
      <c r="A3559" s="3" t="s">
        <v>10786</v>
      </c>
      <c r="B3559" s="4" t="s">
        <v>10787</v>
      </c>
      <c r="C3559" s="4" t="s">
        <v>25</v>
      </c>
      <c r="D3559" s="4" t="s">
        <v>26</v>
      </c>
      <c r="E3559" s="5" t="str">
        <f>"9190010"</f>
        <v>9190010</v>
      </c>
      <c r="F3559" s="3" t="s">
        <v>11333</v>
      </c>
      <c r="G3559" s="5">
        <v>2310835605</v>
      </c>
      <c r="H3559" s="4" t="s">
        <v>11334</v>
      </c>
      <c r="I3559" s="4" t="s">
        <v>10812</v>
      </c>
      <c r="J3559" s="4" t="s">
        <v>10813</v>
      </c>
      <c r="K3559" s="4" t="s">
        <v>10953</v>
      </c>
      <c r="L3559" s="5">
        <v>54641</v>
      </c>
    </row>
    <row r="3560" spans="1:12" x14ac:dyDescent="0.25">
      <c r="A3560" s="3" t="s">
        <v>10786</v>
      </c>
      <c r="B3560" s="4" t="s">
        <v>10787</v>
      </c>
      <c r="C3560" s="4" t="s">
        <v>25</v>
      </c>
      <c r="D3560" s="4" t="s">
        <v>26</v>
      </c>
      <c r="E3560" s="5" t="str">
        <f>"9190427"</f>
        <v>9190427</v>
      </c>
      <c r="F3560" s="3" t="s">
        <v>11335</v>
      </c>
      <c r="G3560" s="5">
        <v>2310839443</v>
      </c>
      <c r="H3560" s="4" t="s">
        <v>11336</v>
      </c>
      <c r="I3560" s="4" t="s">
        <v>10812</v>
      </c>
      <c r="J3560" s="4" t="s">
        <v>11260</v>
      </c>
      <c r="K3560" s="4" t="s">
        <v>11337</v>
      </c>
      <c r="L3560" s="5">
        <v>54642</v>
      </c>
    </row>
    <row r="3561" spans="1:12" x14ac:dyDescent="0.25">
      <c r="A3561" s="3" t="s">
        <v>10786</v>
      </c>
      <c r="B3561" s="4" t="s">
        <v>10787</v>
      </c>
      <c r="C3561" s="4" t="s">
        <v>25</v>
      </c>
      <c r="D3561" s="4" t="s">
        <v>26</v>
      </c>
      <c r="E3561" s="5" t="str">
        <f>"9190429"</f>
        <v>9190429</v>
      </c>
      <c r="F3561" s="3" t="s">
        <v>11338</v>
      </c>
      <c r="G3561" s="5">
        <v>2310834134</v>
      </c>
      <c r="H3561" s="4" t="s">
        <v>11339</v>
      </c>
      <c r="I3561" s="4" t="s">
        <v>10812</v>
      </c>
      <c r="J3561" s="4" t="s">
        <v>10813</v>
      </c>
      <c r="K3561" s="4" t="s">
        <v>11340</v>
      </c>
      <c r="L3561" s="5">
        <v>54644</v>
      </c>
    </row>
    <row r="3562" spans="1:12" x14ac:dyDescent="0.25">
      <c r="A3562" s="3" t="s">
        <v>10786</v>
      </c>
      <c r="B3562" s="4" t="s">
        <v>10787</v>
      </c>
      <c r="C3562" s="4" t="s">
        <v>25</v>
      </c>
      <c r="D3562" s="4" t="s">
        <v>26</v>
      </c>
      <c r="E3562" s="5" t="str">
        <f>"9190434"</f>
        <v>9190434</v>
      </c>
      <c r="F3562" s="3" t="s">
        <v>11341</v>
      </c>
      <c r="G3562" s="5">
        <v>2316017970</v>
      </c>
      <c r="H3562" s="4" t="s">
        <v>11342</v>
      </c>
      <c r="I3562" s="4" t="s">
        <v>10812</v>
      </c>
      <c r="J3562" s="4" t="s">
        <v>10813</v>
      </c>
      <c r="K3562" s="4" t="s">
        <v>11343</v>
      </c>
      <c r="L3562" s="5">
        <v>54640</v>
      </c>
    </row>
    <row r="3563" spans="1:12" ht="30" x14ac:dyDescent="0.25">
      <c r="A3563" s="3" t="s">
        <v>10786</v>
      </c>
      <c r="B3563" s="4" t="s">
        <v>10787</v>
      </c>
      <c r="C3563" s="4" t="s">
        <v>14</v>
      </c>
      <c r="D3563" s="4" t="s">
        <v>452</v>
      </c>
      <c r="E3563" s="5" t="str">
        <f>"9190016"</f>
        <v>9190016</v>
      </c>
      <c r="F3563" s="3" t="s">
        <v>11344</v>
      </c>
      <c r="G3563" s="5">
        <v>2310837917</v>
      </c>
      <c r="H3563" s="4" t="s">
        <v>11345</v>
      </c>
      <c r="I3563" s="4" t="s">
        <v>10812</v>
      </c>
      <c r="J3563" s="4" t="s">
        <v>10813</v>
      </c>
      <c r="K3563" s="4" t="s">
        <v>11346</v>
      </c>
      <c r="L3563" s="5">
        <v>53622</v>
      </c>
    </row>
    <row r="3564" spans="1:12" ht="30" x14ac:dyDescent="0.25">
      <c r="A3564" s="3" t="s">
        <v>10786</v>
      </c>
      <c r="B3564" s="4" t="s">
        <v>10787</v>
      </c>
      <c r="C3564" s="4" t="s">
        <v>14</v>
      </c>
      <c r="D3564" s="4" t="s">
        <v>15</v>
      </c>
      <c r="E3564" s="5" t="str">
        <f>"9190761"</f>
        <v>9190761</v>
      </c>
      <c r="F3564" s="3" t="s">
        <v>11347</v>
      </c>
      <c r="G3564" s="5">
        <v>2310928959</v>
      </c>
      <c r="H3564" s="4" t="s">
        <v>11348</v>
      </c>
      <c r="I3564" s="4" t="s">
        <v>10812</v>
      </c>
      <c r="J3564" s="4" t="s">
        <v>10813</v>
      </c>
      <c r="K3564" s="4" t="s">
        <v>11349</v>
      </c>
      <c r="L3564" s="5">
        <v>54352</v>
      </c>
    </row>
    <row r="3565" spans="1:12" x14ac:dyDescent="0.25">
      <c r="A3565" s="3" t="s">
        <v>10786</v>
      </c>
      <c r="B3565" s="4" t="s">
        <v>10787</v>
      </c>
      <c r="C3565" s="4" t="s">
        <v>14</v>
      </c>
      <c r="D3565" s="4" t="s">
        <v>15</v>
      </c>
      <c r="E3565" s="5" t="str">
        <f>"9190548"</f>
        <v>9190548</v>
      </c>
      <c r="F3565" s="3" t="s">
        <v>11350</v>
      </c>
      <c r="G3565" s="5">
        <v>2310317200</v>
      </c>
      <c r="H3565" s="4" t="s">
        <v>11351</v>
      </c>
      <c r="I3565" s="4" t="s">
        <v>10812</v>
      </c>
      <c r="J3565" s="4" t="s">
        <v>10813</v>
      </c>
      <c r="K3565" s="4" t="s">
        <v>11352</v>
      </c>
      <c r="L3565" s="5">
        <v>54248</v>
      </c>
    </row>
    <row r="3566" spans="1:12" x14ac:dyDescent="0.25">
      <c r="A3566" s="3" t="s">
        <v>10786</v>
      </c>
      <c r="B3566" s="4" t="s">
        <v>10787</v>
      </c>
      <c r="C3566" s="4" t="s">
        <v>25</v>
      </c>
      <c r="D3566" s="4" t="s">
        <v>26</v>
      </c>
      <c r="E3566" s="5" t="str">
        <f>"9190436"</f>
        <v>9190436</v>
      </c>
      <c r="F3566" s="3" t="s">
        <v>11353</v>
      </c>
      <c r="G3566" s="5">
        <v>2310313222</v>
      </c>
      <c r="H3566" s="4" t="s">
        <v>11354</v>
      </c>
      <c r="I3566" s="4" t="s">
        <v>10812</v>
      </c>
      <c r="J3566" s="4" t="s">
        <v>10813</v>
      </c>
      <c r="K3566" s="4" t="s">
        <v>11355</v>
      </c>
      <c r="L3566" s="5">
        <v>54249</v>
      </c>
    </row>
    <row r="3567" spans="1:12" x14ac:dyDescent="0.25">
      <c r="A3567" s="3" t="s">
        <v>10786</v>
      </c>
      <c r="B3567" s="4" t="s">
        <v>10787</v>
      </c>
      <c r="C3567" s="4" t="s">
        <v>25</v>
      </c>
      <c r="D3567" s="4" t="s">
        <v>26</v>
      </c>
      <c r="E3567" s="5" t="str">
        <f>"9190437"</f>
        <v>9190437</v>
      </c>
      <c r="F3567" s="3" t="s">
        <v>11356</v>
      </c>
      <c r="G3567" s="5">
        <v>2316033903</v>
      </c>
      <c r="H3567" s="4" t="s">
        <v>11357</v>
      </c>
      <c r="I3567" s="4" t="s">
        <v>10812</v>
      </c>
      <c r="J3567" s="4" t="s">
        <v>10813</v>
      </c>
      <c r="K3567" s="4" t="s">
        <v>11358</v>
      </c>
      <c r="L3567" s="5">
        <v>54250</v>
      </c>
    </row>
    <row r="3568" spans="1:12" x14ac:dyDescent="0.25">
      <c r="A3568" s="3" t="s">
        <v>10786</v>
      </c>
      <c r="B3568" s="4" t="s">
        <v>10787</v>
      </c>
      <c r="C3568" s="4" t="s">
        <v>25</v>
      </c>
      <c r="D3568" s="4" t="s">
        <v>26</v>
      </c>
      <c r="E3568" s="5" t="str">
        <f>"9190158"</f>
        <v>9190158</v>
      </c>
      <c r="F3568" s="3" t="s">
        <v>11359</v>
      </c>
      <c r="G3568" s="5">
        <v>2316033902</v>
      </c>
      <c r="H3568" s="4" t="s">
        <v>11360</v>
      </c>
      <c r="I3568" s="4" t="s">
        <v>10812</v>
      </c>
      <c r="J3568" s="4" t="s">
        <v>10813</v>
      </c>
      <c r="K3568" s="4" t="s">
        <v>11361</v>
      </c>
      <c r="L3568" s="5">
        <v>55535</v>
      </c>
    </row>
    <row r="3569" spans="1:12" x14ac:dyDescent="0.25">
      <c r="A3569" s="3" t="s">
        <v>10786</v>
      </c>
      <c r="B3569" s="4" t="s">
        <v>10787</v>
      </c>
      <c r="C3569" s="4" t="s">
        <v>25</v>
      </c>
      <c r="D3569" s="4" t="s">
        <v>26</v>
      </c>
      <c r="E3569" s="5" t="str">
        <f>"9190565"</f>
        <v>9190565</v>
      </c>
      <c r="F3569" s="3" t="s">
        <v>11362</v>
      </c>
      <c r="G3569" s="5">
        <v>2310839773</v>
      </c>
      <c r="H3569" s="4" t="s">
        <v>11363</v>
      </c>
      <c r="I3569" s="4" t="s">
        <v>10812</v>
      </c>
      <c r="J3569" s="4" t="s">
        <v>10813</v>
      </c>
      <c r="K3569" s="4" t="s">
        <v>11364</v>
      </c>
      <c r="L3569" s="5">
        <v>54645</v>
      </c>
    </row>
    <row r="3570" spans="1:12" x14ac:dyDescent="0.25">
      <c r="A3570" s="3" t="s">
        <v>10786</v>
      </c>
      <c r="B3570" s="4" t="s">
        <v>10787</v>
      </c>
      <c r="C3570" s="4" t="s">
        <v>25</v>
      </c>
      <c r="D3570" s="4" t="s">
        <v>26</v>
      </c>
      <c r="E3570" s="5" t="str">
        <f>"9190742"</f>
        <v>9190742</v>
      </c>
      <c r="F3570" s="3" t="s">
        <v>11365</v>
      </c>
      <c r="G3570" s="5">
        <v>2311219803</v>
      </c>
      <c r="H3570" s="4" t="s">
        <v>11366</v>
      </c>
      <c r="I3570" s="4" t="s">
        <v>10812</v>
      </c>
      <c r="J3570" s="4" t="s">
        <v>11367</v>
      </c>
      <c r="K3570" s="4" t="s">
        <v>11368</v>
      </c>
      <c r="L3570" s="5">
        <v>54655</v>
      </c>
    </row>
    <row r="3571" spans="1:12" x14ac:dyDescent="0.25">
      <c r="A3571" s="3" t="s">
        <v>10786</v>
      </c>
      <c r="B3571" s="4" t="s">
        <v>10787</v>
      </c>
      <c r="C3571" s="4" t="s">
        <v>14</v>
      </c>
      <c r="D3571" s="4" t="s">
        <v>15</v>
      </c>
      <c r="E3571" s="5" t="str">
        <f>"9190336"</f>
        <v>9190336</v>
      </c>
      <c r="F3571" s="3" t="s">
        <v>11369</v>
      </c>
      <c r="G3571" s="5">
        <v>2392051302</v>
      </c>
      <c r="H3571" s="4" t="s">
        <v>11370</v>
      </c>
      <c r="I3571" s="4" t="s">
        <v>10898</v>
      </c>
      <c r="J3571" s="4" t="s">
        <v>11371</v>
      </c>
      <c r="K3571" s="4" t="s">
        <v>11372</v>
      </c>
      <c r="L3571" s="5">
        <v>57019</v>
      </c>
    </row>
    <row r="3572" spans="1:12" x14ac:dyDescent="0.25">
      <c r="A3572" s="3" t="s">
        <v>10786</v>
      </c>
      <c r="B3572" s="4" t="s">
        <v>10787</v>
      </c>
      <c r="C3572" s="4" t="s">
        <v>14</v>
      </c>
      <c r="D3572" s="4" t="s">
        <v>15</v>
      </c>
      <c r="E3572" s="5" t="str">
        <f>"9190362"</f>
        <v>9190362</v>
      </c>
      <c r="F3572" s="3" t="s">
        <v>11373</v>
      </c>
      <c r="G3572" s="5">
        <v>2392031226</v>
      </c>
      <c r="H3572" s="4" t="s">
        <v>11374</v>
      </c>
      <c r="I3572" s="4" t="s">
        <v>10898</v>
      </c>
      <c r="J3572" s="4" t="s">
        <v>11111</v>
      </c>
      <c r="K3572" s="4" t="s">
        <v>11375</v>
      </c>
      <c r="L3572" s="5">
        <v>57004</v>
      </c>
    </row>
    <row r="3573" spans="1:12" x14ac:dyDescent="0.25">
      <c r="A3573" s="3" t="s">
        <v>10786</v>
      </c>
      <c r="B3573" s="4" t="s">
        <v>10787</v>
      </c>
      <c r="C3573" s="4" t="s">
        <v>14</v>
      </c>
      <c r="D3573" s="4" t="s">
        <v>15</v>
      </c>
      <c r="E3573" s="5" t="str">
        <f>"9190348"</f>
        <v>9190348</v>
      </c>
      <c r="F3573" s="3" t="s">
        <v>11376</v>
      </c>
      <c r="G3573" s="5">
        <v>2392041237</v>
      </c>
      <c r="H3573" s="4" t="s">
        <v>11377</v>
      </c>
      <c r="I3573" s="4" t="s">
        <v>10898</v>
      </c>
      <c r="J3573" s="4" t="s">
        <v>10969</v>
      </c>
      <c r="K3573" s="4" t="s">
        <v>11378</v>
      </c>
      <c r="L3573" s="5">
        <v>57500</v>
      </c>
    </row>
    <row r="3574" spans="1:12" x14ac:dyDescent="0.25">
      <c r="A3574" s="3" t="s">
        <v>10786</v>
      </c>
      <c r="B3574" s="4" t="s">
        <v>10787</v>
      </c>
      <c r="C3574" s="4" t="s">
        <v>14</v>
      </c>
      <c r="D3574" s="4" t="s">
        <v>15</v>
      </c>
      <c r="E3574" s="5" t="str">
        <f>"9190350"</f>
        <v>9190350</v>
      </c>
      <c r="F3574" s="3" t="s">
        <v>11379</v>
      </c>
      <c r="G3574" s="5">
        <v>2392041277</v>
      </c>
      <c r="H3574" s="4" t="s">
        <v>11380</v>
      </c>
      <c r="I3574" s="4" t="s">
        <v>10898</v>
      </c>
      <c r="J3574" s="4" t="s">
        <v>10969</v>
      </c>
      <c r="K3574" s="4" t="s">
        <v>11381</v>
      </c>
      <c r="L3574" s="5">
        <v>57500</v>
      </c>
    </row>
    <row r="3575" spans="1:12" x14ac:dyDescent="0.25">
      <c r="A3575" s="3" t="s">
        <v>10786</v>
      </c>
      <c r="B3575" s="4" t="s">
        <v>10787</v>
      </c>
      <c r="C3575" s="4" t="s">
        <v>14</v>
      </c>
      <c r="D3575" s="4" t="s">
        <v>15</v>
      </c>
      <c r="E3575" s="5" t="str">
        <f>"9190931"</f>
        <v>9190931</v>
      </c>
      <c r="F3575" s="3" t="s">
        <v>11382</v>
      </c>
      <c r="G3575" s="5">
        <v>2396041374</v>
      </c>
      <c r="H3575" s="4" t="s">
        <v>11383</v>
      </c>
      <c r="I3575" s="4" t="s">
        <v>10804</v>
      </c>
      <c r="J3575" s="4"/>
      <c r="K3575" s="4" t="s">
        <v>3167</v>
      </c>
      <c r="L3575" s="5">
        <v>57001</v>
      </c>
    </row>
    <row r="3576" spans="1:12" x14ac:dyDescent="0.25">
      <c r="A3576" s="3" t="s">
        <v>10786</v>
      </c>
      <c r="B3576" s="4" t="s">
        <v>10787</v>
      </c>
      <c r="C3576" s="4" t="s">
        <v>14</v>
      </c>
      <c r="D3576" s="4" t="s">
        <v>15</v>
      </c>
      <c r="E3576" s="5" t="str">
        <f>"9190371"</f>
        <v>9190371</v>
      </c>
      <c r="F3576" s="3" t="s">
        <v>11384</v>
      </c>
      <c r="G3576" s="5">
        <v>2392061238</v>
      </c>
      <c r="H3576" s="4" t="s">
        <v>11385</v>
      </c>
      <c r="I3576" s="4" t="s">
        <v>10804</v>
      </c>
      <c r="J3576" s="4" t="s">
        <v>11212</v>
      </c>
      <c r="K3576" s="4" t="s">
        <v>11386</v>
      </c>
      <c r="L3576" s="5">
        <v>57500</v>
      </c>
    </row>
    <row r="3577" spans="1:12" x14ac:dyDescent="0.25">
      <c r="A3577" s="3" t="s">
        <v>10786</v>
      </c>
      <c r="B3577" s="4" t="s">
        <v>10787</v>
      </c>
      <c r="C3577" s="4" t="s">
        <v>14</v>
      </c>
      <c r="D3577" s="4" t="s">
        <v>15</v>
      </c>
      <c r="E3577" s="5" t="str">
        <f>"9190338"</f>
        <v>9190338</v>
      </c>
      <c r="F3577" s="3" t="s">
        <v>11387</v>
      </c>
      <c r="G3577" s="5">
        <v>2396041394</v>
      </c>
      <c r="H3577" s="4" t="s">
        <v>11388</v>
      </c>
      <c r="I3577" s="4" t="s">
        <v>10804</v>
      </c>
      <c r="J3577" s="4" t="s">
        <v>11389</v>
      </c>
      <c r="K3577" s="4" t="s">
        <v>11390</v>
      </c>
      <c r="L3577" s="5">
        <v>57006</v>
      </c>
    </row>
    <row r="3578" spans="1:12" x14ac:dyDescent="0.25">
      <c r="A3578" s="3" t="s">
        <v>10786</v>
      </c>
      <c r="B3578" s="4" t="s">
        <v>10787</v>
      </c>
      <c r="C3578" s="4" t="s">
        <v>14</v>
      </c>
      <c r="D3578" s="4" t="s">
        <v>15</v>
      </c>
      <c r="E3578" s="5" t="str">
        <f>"9190908"</f>
        <v>9190908</v>
      </c>
      <c r="F3578" s="3" t="s">
        <v>11391</v>
      </c>
      <c r="G3578" s="5">
        <v>2392027870</v>
      </c>
      <c r="H3578" s="4" t="s">
        <v>11392</v>
      </c>
      <c r="I3578" s="4" t="s">
        <v>10898</v>
      </c>
      <c r="J3578" s="4" t="s">
        <v>10899</v>
      </c>
      <c r="K3578" s="4" t="s">
        <v>8208</v>
      </c>
      <c r="L3578" s="5">
        <v>57019</v>
      </c>
    </row>
    <row r="3579" spans="1:12" x14ac:dyDescent="0.25">
      <c r="A3579" s="3" t="s">
        <v>10786</v>
      </c>
      <c r="B3579" s="4" t="s">
        <v>10787</v>
      </c>
      <c r="C3579" s="4" t="s">
        <v>14</v>
      </c>
      <c r="D3579" s="4" t="s">
        <v>15</v>
      </c>
      <c r="E3579" s="5" t="str">
        <f>"9520622"</f>
        <v>9520622</v>
      </c>
      <c r="F3579" s="3" t="s">
        <v>11393</v>
      </c>
      <c r="G3579" s="5">
        <v>2392026569</v>
      </c>
      <c r="H3579" s="4" t="s">
        <v>11394</v>
      </c>
      <c r="I3579" s="4" t="s">
        <v>10898</v>
      </c>
      <c r="J3579" s="4" t="s">
        <v>10899</v>
      </c>
      <c r="K3579" s="4" t="s">
        <v>11395</v>
      </c>
      <c r="L3579" s="5">
        <v>57019</v>
      </c>
    </row>
    <row r="3580" spans="1:12" x14ac:dyDescent="0.25">
      <c r="A3580" s="3" t="s">
        <v>10786</v>
      </c>
      <c r="B3580" s="4" t="s">
        <v>10787</v>
      </c>
      <c r="C3580" s="4" t="s">
        <v>14</v>
      </c>
      <c r="D3580" s="4" t="s">
        <v>15</v>
      </c>
      <c r="E3580" s="5" t="str">
        <f>"9520745"</f>
        <v>9520745</v>
      </c>
      <c r="F3580" s="3" t="s">
        <v>11396</v>
      </c>
      <c r="G3580" s="5">
        <v>2392306761</v>
      </c>
      <c r="H3580" s="4" t="s">
        <v>11397</v>
      </c>
      <c r="I3580" s="4" t="s">
        <v>10898</v>
      </c>
      <c r="J3580" s="4" t="s">
        <v>10899</v>
      </c>
      <c r="K3580" s="4" t="s">
        <v>11398</v>
      </c>
      <c r="L3580" s="5">
        <v>57019</v>
      </c>
    </row>
    <row r="3581" spans="1:12" x14ac:dyDescent="0.25">
      <c r="A3581" s="3" t="s">
        <v>10786</v>
      </c>
      <c r="B3581" s="4" t="s">
        <v>10787</v>
      </c>
      <c r="C3581" s="4" t="s">
        <v>25</v>
      </c>
      <c r="D3581" s="4" t="s">
        <v>26</v>
      </c>
      <c r="E3581" s="5" t="str">
        <f>"9190694"</f>
        <v>9190694</v>
      </c>
      <c r="F3581" s="3" t="s">
        <v>11399</v>
      </c>
      <c r="G3581" s="5">
        <v>2392052263</v>
      </c>
      <c r="H3581" s="4" t="s">
        <v>11400</v>
      </c>
      <c r="I3581" s="4" t="s">
        <v>10898</v>
      </c>
      <c r="J3581" s="4" t="s">
        <v>11371</v>
      </c>
      <c r="K3581" s="4" t="s">
        <v>11401</v>
      </c>
      <c r="L3581" s="5">
        <v>57019</v>
      </c>
    </row>
    <row r="3582" spans="1:12" x14ac:dyDescent="0.25">
      <c r="A3582" s="3" t="s">
        <v>10786</v>
      </c>
      <c r="B3582" s="4" t="s">
        <v>10787</v>
      </c>
      <c r="C3582" s="4" t="s">
        <v>25</v>
      </c>
      <c r="D3582" s="4" t="s">
        <v>26</v>
      </c>
      <c r="E3582" s="5" t="str">
        <f>"9190342"</f>
        <v>9190342</v>
      </c>
      <c r="F3582" s="3" t="s">
        <v>11402</v>
      </c>
      <c r="G3582" s="5">
        <v>2396023491</v>
      </c>
      <c r="H3582" s="4" t="s">
        <v>11403</v>
      </c>
      <c r="I3582" s="4" t="s">
        <v>10804</v>
      </c>
      <c r="J3582" s="4" t="s">
        <v>11404</v>
      </c>
      <c r="K3582" s="4" t="s">
        <v>11404</v>
      </c>
      <c r="L3582" s="5">
        <v>57006</v>
      </c>
    </row>
    <row r="3583" spans="1:12" x14ac:dyDescent="0.25">
      <c r="A3583" s="3" t="s">
        <v>10786</v>
      </c>
      <c r="B3583" s="4" t="s">
        <v>10787</v>
      </c>
      <c r="C3583" s="4" t="s">
        <v>25</v>
      </c>
      <c r="D3583" s="4" t="s">
        <v>26</v>
      </c>
      <c r="E3583" s="5" t="str">
        <f>"9190613"</f>
        <v>9190613</v>
      </c>
      <c r="F3583" s="3" t="s">
        <v>11405</v>
      </c>
      <c r="G3583" s="5">
        <v>2392020515</v>
      </c>
      <c r="H3583" s="4" t="s">
        <v>11406</v>
      </c>
      <c r="I3583" s="4" t="s">
        <v>10898</v>
      </c>
      <c r="J3583" s="4" t="s">
        <v>10899</v>
      </c>
      <c r="K3583" s="4" t="s">
        <v>11407</v>
      </c>
      <c r="L3583" s="5">
        <v>57019</v>
      </c>
    </row>
    <row r="3584" spans="1:12" x14ac:dyDescent="0.25">
      <c r="A3584" s="3" t="s">
        <v>10786</v>
      </c>
      <c r="B3584" s="4" t="s">
        <v>10787</v>
      </c>
      <c r="C3584" s="4" t="s">
        <v>25</v>
      </c>
      <c r="D3584" s="4" t="s">
        <v>26</v>
      </c>
      <c r="E3584" s="5" t="str">
        <f>"9190347"</f>
        <v>9190347</v>
      </c>
      <c r="F3584" s="3" t="s">
        <v>11408</v>
      </c>
      <c r="G3584" s="5">
        <v>2392044474</v>
      </c>
      <c r="H3584" s="4" t="s">
        <v>11409</v>
      </c>
      <c r="I3584" s="4" t="s">
        <v>10898</v>
      </c>
      <c r="J3584" s="4" t="s">
        <v>10969</v>
      </c>
      <c r="K3584" s="4" t="s">
        <v>11378</v>
      </c>
      <c r="L3584" s="5">
        <v>57500</v>
      </c>
    </row>
    <row r="3585" spans="1:12" x14ac:dyDescent="0.25">
      <c r="A3585" s="3" t="s">
        <v>10786</v>
      </c>
      <c r="B3585" s="4" t="s">
        <v>10787</v>
      </c>
      <c r="C3585" s="4" t="s">
        <v>25</v>
      </c>
      <c r="D3585" s="4" t="s">
        <v>26</v>
      </c>
      <c r="E3585" s="5" t="str">
        <f>"9190926"</f>
        <v>9190926</v>
      </c>
      <c r="F3585" s="3" t="s">
        <v>11410</v>
      </c>
      <c r="G3585" s="5">
        <v>2392028557</v>
      </c>
      <c r="H3585" s="4" t="s">
        <v>11411</v>
      </c>
      <c r="I3585" s="4" t="s">
        <v>10898</v>
      </c>
      <c r="J3585" s="4" t="s">
        <v>10899</v>
      </c>
      <c r="K3585" s="4" t="s">
        <v>8208</v>
      </c>
      <c r="L3585" s="5">
        <v>57019</v>
      </c>
    </row>
    <row r="3586" spans="1:12" x14ac:dyDescent="0.25">
      <c r="A3586" s="3" t="s">
        <v>10786</v>
      </c>
      <c r="B3586" s="4" t="s">
        <v>10787</v>
      </c>
      <c r="C3586" s="4" t="s">
        <v>25</v>
      </c>
      <c r="D3586" s="4" t="s">
        <v>26</v>
      </c>
      <c r="E3586" s="5" t="str">
        <f>"9520588"</f>
        <v>9520588</v>
      </c>
      <c r="F3586" s="3" t="s">
        <v>11412</v>
      </c>
      <c r="G3586" s="5">
        <v>2310449360</v>
      </c>
      <c r="H3586" s="4" t="s">
        <v>11413</v>
      </c>
      <c r="I3586" s="4" t="s">
        <v>10790</v>
      </c>
      <c r="J3586" s="4" t="s">
        <v>10791</v>
      </c>
      <c r="K3586" s="4" t="s">
        <v>11140</v>
      </c>
      <c r="L3586" s="5">
        <v>55132</v>
      </c>
    </row>
    <row r="3587" spans="1:12" x14ac:dyDescent="0.25">
      <c r="A3587" s="3" t="s">
        <v>10786</v>
      </c>
      <c r="B3587" s="4" t="s">
        <v>10787</v>
      </c>
      <c r="C3587" s="4" t="s">
        <v>25</v>
      </c>
      <c r="D3587" s="4" t="s">
        <v>26</v>
      </c>
      <c r="E3587" s="5" t="str">
        <f>"9190764"</f>
        <v>9190764</v>
      </c>
      <c r="F3587" s="3" t="s">
        <v>11414</v>
      </c>
      <c r="G3587" s="5">
        <v>2311301088</v>
      </c>
      <c r="H3587" s="4" t="s">
        <v>11415</v>
      </c>
      <c r="I3587" s="4" t="s">
        <v>10790</v>
      </c>
      <c r="J3587" s="4" t="s">
        <v>10790</v>
      </c>
      <c r="K3587" s="4" t="s">
        <v>11416</v>
      </c>
      <c r="L3587" s="5">
        <v>55132</v>
      </c>
    </row>
    <row r="3588" spans="1:12" x14ac:dyDescent="0.25">
      <c r="A3588" s="3" t="s">
        <v>10786</v>
      </c>
      <c r="B3588" s="4" t="s">
        <v>10787</v>
      </c>
      <c r="C3588" s="4" t="s">
        <v>25</v>
      </c>
      <c r="D3588" s="4" t="s">
        <v>26</v>
      </c>
      <c r="E3588" s="5" t="str">
        <f>"9190566"</f>
        <v>9190566</v>
      </c>
      <c r="F3588" s="3" t="s">
        <v>11417</v>
      </c>
      <c r="G3588" s="5">
        <v>2310414800</v>
      </c>
      <c r="H3588" s="4" t="s">
        <v>11418</v>
      </c>
      <c r="I3588" s="4" t="s">
        <v>10790</v>
      </c>
      <c r="J3588" s="4" t="s">
        <v>10791</v>
      </c>
      <c r="K3588" s="4" t="s">
        <v>11419</v>
      </c>
      <c r="L3588" s="5">
        <v>55131</v>
      </c>
    </row>
    <row r="3589" spans="1:12" x14ac:dyDescent="0.25">
      <c r="A3589" s="3" t="s">
        <v>10786</v>
      </c>
      <c r="B3589" s="4" t="s">
        <v>10787</v>
      </c>
      <c r="C3589" s="4" t="s">
        <v>14</v>
      </c>
      <c r="D3589" s="4" t="s">
        <v>15</v>
      </c>
      <c r="E3589" s="5" t="str">
        <f>"9190008"</f>
        <v>9190008</v>
      </c>
      <c r="F3589" s="3" t="s">
        <v>11420</v>
      </c>
      <c r="G3589" s="5">
        <v>2310302838</v>
      </c>
      <c r="H3589" s="4" t="s">
        <v>11421</v>
      </c>
      <c r="I3589" s="4" t="s">
        <v>10812</v>
      </c>
      <c r="J3589" s="4" t="s">
        <v>10813</v>
      </c>
      <c r="K3589" s="4" t="s">
        <v>11352</v>
      </c>
      <c r="L3589" s="5">
        <v>54248</v>
      </c>
    </row>
    <row r="3590" spans="1:12" x14ac:dyDescent="0.25">
      <c r="A3590" s="3" t="s">
        <v>10786</v>
      </c>
      <c r="B3590" s="4" t="s">
        <v>10787</v>
      </c>
      <c r="C3590" s="4" t="s">
        <v>14</v>
      </c>
      <c r="D3590" s="4" t="s">
        <v>15</v>
      </c>
      <c r="E3590" s="5" t="str">
        <f>"9190038"</f>
        <v>9190038</v>
      </c>
      <c r="F3590" s="3" t="s">
        <v>11422</v>
      </c>
      <c r="G3590" s="5">
        <v>2310831710</v>
      </c>
      <c r="H3590" s="4" t="s">
        <v>11423</v>
      </c>
      <c r="I3590" s="4" t="s">
        <v>10812</v>
      </c>
      <c r="J3590" s="4" t="s">
        <v>10813</v>
      </c>
      <c r="K3590" s="4" t="s">
        <v>11424</v>
      </c>
      <c r="L3590" s="5">
        <v>54639</v>
      </c>
    </row>
    <row r="3591" spans="1:12" x14ac:dyDescent="0.25">
      <c r="A3591" s="3" t="s">
        <v>10786</v>
      </c>
      <c r="B3591" s="4" t="s">
        <v>10787</v>
      </c>
      <c r="C3591" s="4" t="s">
        <v>14</v>
      </c>
      <c r="D3591" s="4" t="s">
        <v>15</v>
      </c>
      <c r="E3591" s="5" t="str">
        <f>"9190552"</f>
        <v>9190552</v>
      </c>
      <c r="F3591" s="3" t="s">
        <v>11425</v>
      </c>
      <c r="G3591" s="5">
        <v>2310316346</v>
      </c>
      <c r="H3591" s="4" t="s">
        <v>11426</v>
      </c>
      <c r="I3591" s="4" t="s">
        <v>10812</v>
      </c>
      <c r="J3591" s="4" t="s">
        <v>10813</v>
      </c>
      <c r="K3591" s="4" t="s">
        <v>11251</v>
      </c>
      <c r="L3591" s="5">
        <v>54250</v>
      </c>
    </row>
    <row r="3592" spans="1:12" x14ac:dyDescent="0.25">
      <c r="A3592" s="3" t="s">
        <v>10786</v>
      </c>
      <c r="B3592" s="4" t="s">
        <v>10787</v>
      </c>
      <c r="C3592" s="4" t="s">
        <v>14</v>
      </c>
      <c r="D3592" s="4" t="s">
        <v>15</v>
      </c>
      <c r="E3592" s="5" t="str">
        <f>"9190420"</f>
        <v>9190420</v>
      </c>
      <c r="F3592" s="3" t="s">
        <v>11427</v>
      </c>
      <c r="G3592" s="5">
        <v>2310840895</v>
      </c>
      <c r="H3592" s="4" t="s">
        <v>11428</v>
      </c>
      <c r="I3592" s="4" t="s">
        <v>10812</v>
      </c>
      <c r="J3592" s="4" t="s">
        <v>10813</v>
      </c>
      <c r="K3592" s="4" t="s">
        <v>11429</v>
      </c>
      <c r="L3592" s="5">
        <v>54643</v>
      </c>
    </row>
    <row r="3593" spans="1:12" x14ac:dyDescent="0.25">
      <c r="A3593" s="3" t="s">
        <v>10786</v>
      </c>
      <c r="B3593" s="4" t="s">
        <v>10787</v>
      </c>
      <c r="C3593" s="4" t="s">
        <v>14</v>
      </c>
      <c r="D3593" s="4" t="s">
        <v>15</v>
      </c>
      <c r="E3593" s="5" t="str">
        <f>"9190534"</f>
        <v>9190534</v>
      </c>
      <c r="F3593" s="3" t="s">
        <v>11430</v>
      </c>
      <c r="G3593" s="5">
        <v>2310422297</v>
      </c>
      <c r="H3593" s="4" t="s">
        <v>11431</v>
      </c>
      <c r="I3593" s="4" t="s">
        <v>10812</v>
      </c>
      <c r="J3593" s="4" t="s">
        <v>10813</v>
      </c>
      <c r="K3593" s="4" t="s">
        <v>11432</v>
      </c>
      <c r="L3593" s="5">
        <v>54655</v>
      </c>
    </row>
    <row r="3594" spans="1:12" x14ac:dyDescent="0.25">
      <c r="A3594" s="3" t="s">
        <v>10786</v>
      </c>
      <c r="B3594" s="4" t="s">
        <v>10787</v>
      </c>
      <c r="C3594" s="4" t="s">
        <v>14</v>
      </c>
      <c r="D3594" s="4" t="s">
        <v>15</v>
      </c>
      <c r="E3594" s="5" t="str">
        <f>"9190011"</f>
        <v>9190011</v>
      </c>
      <c r="F3594" s="3" t="s">
        <v>11433</v>
      </c>
      <c r="G3594" s="5">
        <v>2310813010</v>
      </c>
      <c r="H3594" s="4" t="s">
        <v>11434</v>
      </c>
      <c r="I3594" s="4" t="s">
        <v>10812</v>
      </c>
      <c r="J3594" s="4" t="s">
        <v>10813</v>
      </c>
      <c r="K3594" s="4" t="s">
        <v>11435</v>
      </c>
      <c r="L3594" s="5">
        <v>54643</v>
      </c>
    </row>
    <row r="3595" spans="1:12" x14ac:dyDescent="0.25">
      <c r="A3595" s="3" t="s">
        <v>10786</v>
      </c>
      <c r="B3595" s="4" t="s">
        <v>10787</v>
      </c>
      <c r="C3595" s="4" t="s">
        <v>14</v>
      </c>
      <c r="D3595" s="4" t="s">
        <v>15</v>
      </c>
      <c r="E3595" s="5" t="str">
        <f>"9190757"</f>
        <v>9190757</v>
      </c>
      <c r="F3595" s="3" t="s">
        <v>11436</v>
      </c>
      <c r="G3595" s="5">
        <v>2310310855</v>
      </c>
      <c r="H3595" s="4" t="s">
        <v>11437</v>
      </c>
      <c r="I3595" s="4" t="s">
        <v>10812</v>
      </c>
      <c r="J3595" s="4" t="s">
        <v>10813</v>
      </c>
      <c r="K3595" s="4" t="s">
        <v>11438</v>
      </c>
      <c r="L3595" s="5">
        <v>54249</v>
      </c>
    </row>
    <row r="3596" spans="1:12" x14ac:dyDescent="0.25">
      <c r="A3596" s="3" t="s">
        <v>10786</v>
      </c>
      <c r="B3596" s="4" t="s">
        <v>10787</v>
      </c>
      <c r="C3596" s="4" t="s">
        <v>25</v>
      </c>
      <c r="D3596" s="4" t="s">
        <v>26</v>
      </c>
      <c r="E3596" s="5" t="str">
        <f>"9190052"</f>
        <v>9190052</v>
      </c>
      <c r="F3596" s="3" t="s">
        <v>11439</v>
      </c>
      <c r="G3596" s="5">
        <v>2310848679</v>
      </c>
      <c r="H3596" s="4" t="s">
        <v>11440</v>
      </c>
      <c r="I3596" s="4" t="s">
        <v>10812</v>
      </c>
      <c r="J3596" s="4" t="s">
        <v>10813</v>
      </c>
      <c r="K3596" s="4" t="s">
        <v>11424</v>
      </c>
      <c r="L3596" s="5">
        <v>54639</v>
      </c>
    </row>
    <row r="3597" spans="1:12" x14ac:dyDescent="0.25">
      <c r="A3597" s="3" t="s">
        <v>10786</v>
      </c>
      <c r="B3597" s="4" t="s">
        <v>10787</v>
      </c>
      <c r="C3597" s="4" t="s">
        <v>25</v>
      </c>
      <c r="D3597" s="4" t="s">
        <v>26</v>
      </c>
      <c r="E3597" s="5" t="str">
        <f>"9521113"</f>
        <v>9521113</v>
      </c>
      <c r="F3597" s="3" t="s">
        <v>11441</v>
      </c>
      <c r="G3597" s="5">
        <v>2310348161</v>
      </c>
      <c r="H3597" s="4" t="s">
        <v>11442</v>
      </c>
      <c r="I3597" s="4" t="s">
        <v>10823</v>
      </c>
      <c r="J3597" s="4" t="s">
        <v>11118</v>
      </c>
      <c r="K3597" s="4" t="s">
        <v>11443</v>
      </c>
      <c r="L3597" s="5">
        <v>57010</v>
      </c>
    </row>
    <row r="3598" spans="1:12" x14ac:dyDescent="0.25">
      <c r="A3598" s="3" t="s">
        <v>10786</v>
      </c>
      <c r="B3598" s="4" t="s">
        <v>10787</v>
      </c>
      <c r="C3598" s="4" t="s">
        <v>25</v>
      </c>
      <c r="D3598" s="4" t="s">
        <v>26</v>
      </c>
      <c r="E3598" s="5" t="str">
        <f>"9521130"</f>
        <v>9521130</v>
      </c>
      <c r="F3598" s="3" t="s">
        <v>11444</v>
      </c>
      <c r="G3598" s="5">
        <v>2310302875</v>
      </c>
      <c r="H3598" s="4" t="s">
        <v>11445</v>
      </c>
      <c r="I3598" s="4" t="s">
        <v>10823</v>
      </c>
      <c r="J3598" s="4" t="s">
        <v>10835</v>
      </c>
      <c r="K3598" s="4" t="s">
        <v>11446</v>
      </c>
      <c r="L3598" s="5">
        <v>55535</v>
      </c>
    </row>
    <row r="3599" spans="1:12" x14ac:dyDescent="0.25">
      <c r="A3599" s="3" t="s">
        <v>10786</v>
      </c>
      <c r="B3599" s="4" t="s">
        <v>10787</v>
      </c>
      <c r="C3599" s="4" t="s">
        <v>25</v>
      </c>
      <c r="D3599" s="4" t="s">
        <v>26</v>
      </c>
      <c r="E3599" s="5" t="str">
        <f>"9190471"</f>
        <v>9190471</v>
      </c>
      <c r="F3599" s="3" t="s">
        <v>11447</v>
      </c>
      <c r="G3599" s="5">
        <v>2310248399</v>
      </c>
      <c r="H3599" s="4" t="s">
        <v>11448</v>
      </c>
      <c r="I3599" s="4" t="s">
        <v>10812</v>
      </c>
      <c r="J3599" s="4" t="s">
        <v>10813</v>
      </c>
      <c r="K3599" s="4" t="s">
        <v>11449</v>
      </c>
      <c r="L3599" s="5">
        <v>54635</v>
      </c>
    </row>
    <row r="3600" spans="1:12" x14ac:dyDescent="0.25">
      <c r="A3600" s="3" t="s">
        <v>10786</v>
      </c>
      <c r="B3600" s="4" t="s">
        <v>10787</v>
      </c>
      <c r="C3600" s="4" t="s">
        <v>14</v>
      </c>
      <c r="D3600" s="4" t="s">
        <v>15</v>
      </c>
      <c r="E3600" s="5" t="str">
        <f>"9521095"</f>
        <v>9521095</v>
      </c>
      <c r="F3600" s="3" t="s">
        <v>11450</v>
      </c>
      <c r="G3600" s="5">
        <v>2310906096</v>
      </c>
      <c r="H3600" s="4" t="s">
        <v>11451</v>
      </c>
      <c r="I3600" s="4" t="s">
        <v>10823</v>
      </c>
      <c r="J3600" s="4" t="s">
        <v>10835</v>
      </c>
      <c r="K3600" s="4" t="s">
        <v>11452</v>
      </c>
      <c r="L3600" s="5">
        <v>55534</v>
      </c>
    </row>
    <row r="3601" spans="1:12" x14ac:dyDescent="0.25">
      <c r="A3601" s="3" t="s">
        <v>10786</v>
      </c>
      <c r="B3601" s="4" t="s">
        <v>10787</v>
      </c>
      <c r="C3601" s="4" t="s">
        <v>14</v>
      </c>
      <c r="D3601" s="4" t="s">
        <v>15</v>
      </c>
      <c r="E3601" s="5" t="str">
        <f>"9190365"</f>
        <v>9190365</v>
      </c>
      <c r="F3601" s="3" t="s">
        <v>11453</v>
      </c>
      <c r="G3601" s="5">
        <v>2392073464</v>
      </c>
      <c r="H3601" s="4" t="s">
        <v>11454</v>
      </c>
      <c r="I3601" s="4" t="s">
        <v>10804</v>
      </c>
      <c r="J3601" s="4" t="s">
        <v>11199</v>
      </c>
      <c r="K3601" s="4" t="s">
        <v>11455</v>
      </c>
      <c r="L3601" s="5">
        <v>57001</v>
      </c>
    </row>
    <row r="3602" spans="1:12" x14ac:dyDescent="0.25">
      <c r="A3602" s="3" t="s">
        <v>10786</v>
      </c>
      <c r="B3602" s="4" t="s">
        <v>10787</v>
      </c>
      <c r="C3602" s="4" t="s">
        <v>14</v>
      </c>
      <c r="D3602" s="4" t="s">
        <v>15</v>
      </c>
      <c r="E3602" s="5" t="str">
        <f>"9521277"</f>
        <v>9521277</v>
      </c>
      <c r="F3602" s="3" t="s">
        <v>11456</v>
      </c>
      <c r="G3602" s="5">
        <v>2310365965</v>
      </c>
      <c r="H3602" s="4" t="s">
        <v>11457</v>
      </c>
      <c r="I3602" s="4" t="s">
        <v>10804</v>
      </c>
      <c r="J3602" s="4" t="s">
        <v>10929</v>
      </c>
      <c r="K3602" s="4" t="s">
        <v>11458</v>
      </c>
      <c r="L3602" s="5">
        <v>57001</v>
      </c>
    </row>
    <row r="3603" spans="1:12" ht="30" x14ac:dyDescent="0.25">
      <c r="A3603" s="3" t="s">
        <v>10786</v>
      </c>
      <c r="B3603" s="4" t="s">
        <v>10787</v>
      </c>
      <c r="C3603" s="4" t="s">
        <v>14</v>
      </c>
      <c r="D3603" s="4" t="s">
        <v>15</v>
      </c>
      <c r="E3603" s="5" t="str">
        <f>"9521094"</f>
        <v>9521094</v>
      </c>
      <c r="F3603" s="3" t="s">
        <v>11459</v>
      </c>
      <c r="G3603" s="5">
        <v>2392063787</v>
      </c>
      <c r="H3603" s="4" t="s">
        <v>11460</v>
      </c>
      <c r="I3603" s="4" t="s">
        <v>10804</v>
      </c>
      <c r="J3603" s="4" t="s">
        <v>11209</v>
      </c>
      <c r="K3603" s="4" t="s">
        <v>11461</v>
      </c>
      <c r="L3603" s="5">
        <v>57500</v>
      </c>
    </row>
    <row r="3604" spans="1:12" x14ac:dyDescent="0.25">
      <c r="A3604" s="3" t="s">
        <v>10786</v>
      </c>
      <c r="B3604" s="4" t="s">
        <v>10787</v>
      </c>
      <c r="C3604" s="4" t="s">
        <v>14</v>
      </c>
      <c r="D3604" s="4" t="s">
        <v>15</v>
      </c>
      <c r="E3604" s="5" t="str">
        <f>"9521341"</f>
        <v>9521341</v>
      </c>
      <c r="F3604" s="3" t="s">
        <v>11462</v>
      </c>
      <c r="G3604" s="5">
        <v>2310359747</v>
      </c>
      <c r="H3604" s="4" t="s">
        <v>11463</v>
      </c>
      <c r="I3604" s="4" t="s">
        <v>10823</v>
      </c>
      <c r="J3604" s="4" t="s">
        <v>10824</v>
      </c>
      <c r="K3604" s="4" t="s">
        <v>10824</v>
      </c>
      <c r="L3604" s="5">
        <v>57010</v>
      </c>
    </row>
    <row r="3605" spans="1:12" x14ac:dyDescent="0.25">
      <c r="A3605" s="3" t="s">
        <v>10786</v>
      </c>
      <c r="B3605" s="4" t="s">
        <v>10787</v>
      </c>
      <c r="C3605" s="4" t="s">
        <v>14</v>
      </c>
      <c r="D3605" s="4" t="s">
        <v>15</v>
      </c>
      <c r="E3605" s="5" t="str">
        <f>"9521342"</f>
        <v>9521342</v>
      </c>
      <c r="F3605" s="3" t="s">
        <v>11464</v>
      </c>
      <c r="G3605" s="5">
        <v>2310677128</v>
      </c>
      <c r="H3605" s="4" t="s">
        <v>11465</v>
      </c>
      <c r="I3605" s="4" t="s">
        <v>10823</v>
      </c>
      <c r="J3605" s="4" t="s">
        <v>11122</v>
      </c>
      <c r="K3605" s="4" t="s">
        <v>11276</v>
      </c>
      <c r="L3605" s="5">
        <v>57010</v>
      </c>
    </row>
    <row r="3606" spans="1:12" x14ac:dyDescent="0.25">
      <c r="A3606" s="3" t="s">
        <v>10786</v>
      </c>
      <c r="B3606" s="4" t="s">
        <v>10787</v>
      </c>
      <c r="C3606" s="4" t="s">
        <v>25</v>
      </c>
      <c r="D3606" s="4" t="s">
        <v>26</v>
      </c>
      <c r="E3606" s="5" t="str">
        <f>"9521322"</f>
        <v>9521322</v>
      </c>
      <c r="F3606" s="3" t="s">
        <v>11466</v>
      </c>
      <c r="G3606" s="5">
        <v>2310915811</v>
      </c>
      <c r="H3606" s="4" t="s">
        <v>11467</v>
      </c>
      <c r="I3606" s="4" t="s">
        <v>10823</v>
      </c>
      <c r="J3606" s="4" t="s">
        <v>10835</v>
      </c>
      <c r="K3606" s="4" t="s">
        <v>11468</v>
      </c>
      <c r="L3606" s="5">
        <v>54352</v>
      </c>
    </row>
    <row r="3607" spans="1:12" x14ac:dyDescent="0.25">
      <c r="A3607" s="3" t="s">
        <v>10786</v>
      </c>
      <c r="B3607" s="4" t="s">
        <v>10787</v>
      </c>
      <c r="C3607" s="4" t="s">
        <v>14</v>
      </c>
      <c r="D3607" s="4" t="s">
        <v>15</v>
      </c>
      <c r="E3607" s="5" t="str">
        <f>"9521318"</f>
        <v>9521318</v>
      </c>
      <c r="F3607" s="3" t="s">
        <v>11469</v>
      </c>
      <c r="G3607" s="5">
        <v>2392307167</v>
      </c>
      <c r="H3607" s="4" t="s">
        <v>11470</v>
      </c>
      <c r="I3607" s="4" t="s">
        <v>10898</v>
      </c>
      <c r="J3607" s="4" t="s">
        <v>10899</v>
      </c>
      <c r="K3607" s="4" t="s">
        <v>11471</v>
      </c>
      <c r="L3607" s="5">
        <v>57019</v>
      </c>
    </row>
    <row r="3608" spans="1:12" x14ac:dyDescent="0.25">
      <c r="A3608" s="3" t="s">
        <v>10786</v>
      </c>
      <c r="B3608" s="4" t="s">
        <v>10787</v>
      </c>
      <c r="C3608" s="4" t="s">
        <v>25</v>
      </c>
      <c r="D3608" s="4" t="s">
        <v>26</v>
      </c>
      <c r="E3608" s="5" t="str">
        <f>"9521321"</f>
        <v>9521321</v>
      </c>
      <c r="F3608" s="3" t="s">
        <v>11472</v>
      </c>
      <c r="G3608" s="5">
        <v>2392062445</v>
      </c>
      <c r="H3608" s="4" t="s">
        <v>11473</v>
      </c>
      <c r="I3608" s="4" t="s">
        <v>10804</v>
      </c>
      <c r="J3608" s="4" t="s">
        <v>11209</v>
      </c>
      <c r="K3608" s="4" t="s">
        <v>11461</v>
      </c>
      <c r="L3608" s="5">
        <v>57500</v>
      </c>
    </row>
    <row r="3609" spans="1:12" x14ac:dyDescent="0.25">
      <c r="A3609" s="3" t="s">
        <v>10786</v>
      </c>
      <c r="B3609" s="4" t="s">
        <v>10787</v>
      </c>
      <c r="C3609" s="4" t="s">
        <v>25</v>
      </c>
      <c r="D3609" s="4" t="s">
        <v>26</v>
      </c>
      <c r="E3609" s="5" t="str">
        <f>"9521446"</f>
        <v>9521446</v>
      </c>
      <c r="F3609" s="3" t="s">
        <v>11474</v>
      </c>
      <c r="G3609" s="5">
        <v>2310365945</v>
      </c>
      <c r="H3609" s="4" t="s">
        <v>11475</v>
      </c>
      <c r="I3609" s="4" t="s">
        <v>10804</v>
      </c>
      <c r="J3609" s="4" t="s">
        <v>10929</v>
      </c>
      <c r="K3609" s="4" t="s">
        <v>11476</v>
      </c>
      <c r="L3609" s="5">
        <v>57001</v>
      </c>
    </row>
    <row r="3610" spans="1:12" x14ac:dyDescent="0.25">
      <c r="A3610" s="3" t="s">
        <v>10786</v>
      </c>
      <c r="B3610" s="4" t="s">
        <v>10787</v>
      </c>
      <c r="C3610" s="4" t="s">
        <v>14</v>
      </c>
      <c r="D3610" s="4" t="s">
        <v>15</v>
      </c>
      <c r="E3610" s="5" t="str">
        <f>"9521414"</f>
        <v>9521414</v>
      </c>
      <c r="F3610" s="3" t="s">
        <v>11477</v>
      </c>
      <c r="G3610" s="5">
        <v>2310322277</v>
      </c>
      <c r="H3610" s="4" t="s">
        <v>11478</v>
      </c>
      <c r="I3610" s="4" t="s">
        <v>10823</v>
      </c>
      <c r="J3610" s="4" t="s">
        <v>10835</v>
      </c>
      <c r="K3610" s="4" t="s">
        <v>11479</v>
      </c>
      <c r="L3610" s="5">
        <v>54250</v>
      </c>
    </row>
    <row r="3611" spans="1:12" x14ac:dyDescent="0.25">
      <c r="A3611" s="3" t="s">
        <v>10786</v>
      </c>
      <c r="B3611" s="4" t="s">
        <v>10787</v>
      </c>
      <c r="C3611" s="4" t="s">
        <v>14</v>
      </c>
      <c r="D3611" s="4" t="s">
        <v>15</v>
      </c>
      <c r="E3611" s="5" t="str">
        <f>"9520674"</f>
        <v>9520674</v>
      </c>
      <c r="F3611" s="3" t="s">
        <v>11480</v>
      </c>
      <c r="G3611" s="5">
        <v>2310460079</v>
      </c>
      <c r="H3611" s="4" t="s">
        <v>11481</v>
      </c>
      <c r="I3611" s="4" t="s">
        <v>10804</v>
      </c>
      <c r="J3611" s="4" t="s">
        <v>10842</v>
      </c>
      <c r="K3611" s="4" t="s">
        <v>11482</v>
      </c>
      <c r="L3611" s="5">
        <v>57001</v>
      </c>
    </row>
    <row r="3612" spans="1:12" x14ac:dyDescent="0.25">
      <c r="A3612" s="3" t="s">
        <v>10786</v>
      </c>
      <c r="B3612" s="4" t="s">
        <v>10787</v>
      </c>
      <c r="C3612" s="4" t="s">
        <v>14</v>
      </c>
      <c r="D3612" s="4" t="s">
        <v>15</v>
      </c>
      <c r="E3612" s="5" t="str">
        <f>"9190343"</f>
        <v>9190343</v>
      </c>
      <c r="F3612" s="3" t="s">
        <v>11483</v>
      </c>
      <c r="G3612" s="5">
        <v>2396022225</v>
      </c>
      <c r="H3612" s="4" t="s">
        <v>11484</v>
      </c>
      <c r="I3612" s="4" t="s">
        <v>10804</v>
      </c>
      <c r="J3612" s="4" t="s">
        <v>11404</v>
      </c>
      <c r="K3612" s="4" t="s">
        <v>11404</v>
      </c>
      <c r="L3612" s="5">
        <v>57006</v>
      </c>
    </row>
    <row r="3613" spans="1:12" x14ac:dyDescent="0.25">
      <c r="A3613" s="3" t="s">
        <v>10786</v>
      </c>
      <c r="B3613" s="4" t="s">
        <v>10787</v>
      </c>
      <c r="C3613" s="4" t="s">
        <v>14</v>
      </c>
      <c r="D3613" s="4" t="s">
        <v>15</v>
      </c>
      <c r="E3613" s="5" t="str">
        <f>"9520672"</f>
        <v>9520672</v>
      </c>
      <c r="F3613" s="3" t="s">
        <v>11485</v>
      </c>
      <c r="G3613" s="5">
        <v>2392091988</v>
      </c>
      <c r="H3613" s="4" t="s">
        <v>11486</v>
      </c>
      <c r="I3613" s="4" t="s">
        <v>10898</v>
      </c>
      <c r="J3613" s="4" t="s">
        <v>11178</v>
      </c>
      <c r="K3613" s="4" t="s">
        <v>11178</v>
      </c>
      <c r="L3613" s="5">
        <v>57500</v>
      </c>
    </row>
    <row r="3614" spans="1:12" x14ac:dyDescent="0.25">
      <c r="A3614" s="3" t="s">
        <v>10786</v>
      </c>
      <c r="B3614" s="4" t="s">
        <v>10787</v>
      </c>
      <c r="C3614" s="4" t="s">
        <v>14</v>
      </c>
      <c r="D3614" s="4" t="s">
        <v>15</v>
      </c>
      <c r="E3614" s="5" t="str">
        <f>"9521319"</f>
        <v>9521319</v>
      </c>
      <c r="F3614" s="3" t="s">
        <v>11487</v>
      </c>
      <c r="G3614" s="5">
        <v>2392306871</v>
      </c>
      <c r="H3614" s="4" t="s">
        <v>11488</v>
      </c>
      <c r="I3614" s="4" t="s">
        <v>10804</v>
      </c>
      <c r="J3614" s="4" t="s">
        <v>11212</v>
      </c>
      <c r="K3614" s="4" t="s">
        <v>11489</v>
      </c>
      <c r="L3614" s="5">
        <v>57500</v>
      </c>
    </row>
    <row r="3615" spans="1:12" x14ac:dyDescent="0.25">
      <c r="A3615" s="3" t="s">
        <v>10786</v>
      </c>
      <c r="B3615" s="4" t="s">
        <v>10787</v>
      </c>
      <c r="C3615" s="4" t="s">
        <v>14</v>
      </c>
      <c r="D3615" s="4" t="s">
        <v>15</v>
      </c>
      <c r="E3615" s="5" t="str">
        <f>"9190375"</f>
        <v>9190375</v>
      </c>
      <c r="F3615" s="3" t="s">
        <v>11490</v>
      </c>
      <c r="G3615" s="5">
        <v>2392061231</v>
      </c>
      <c r="H3615" s="4" t="s">
        <v>11491</v>
      </c>
      <c r="I3615" s="4" t="s">
        <v>10804</v>
      </c>
      <c r="J3615" s="4"/>
      <c r="K3615" s="4" t="s">
        <v>11209</v>
      </c>
      <c r="L3615" s="5">
        <v>57500</v>
      </c>
    </row>
    <row r="3616" spans="1:12" x14ac:dyDescent="0.25">
      <c r="A3616" s="3" t="s">
        <v>10786</v>
      </c>
      <c r="B3616" s="4" t="s">
        <v>10787</v>
      </c>
      <c r="C3616" s="4" t="s">
        <v>25</v>
      </c>
      <c r="D3616" s="4" t="s">
        <v>26</v>
      </c>
      <c r="E3616" s="5" t="str">
        <f>"9190005"</f>
        <v>9190005</v>
      </c>
      <c r="F3616" s="3" t="s">
        <v>11492</v>
      </c>
      <c r="G3616" s="5">
        <v>2310411116</v>
      </c>
      <c r="H3616" s="4" t="s">
        <v>11493</v>
      </c>
      <c r="I3616" s="4" t="s">
        <v>10812</v>
      </c>
      <c r="J3616" s="4" t="s">
        <v>10812</v>
      </c>
      <c r="K3616" s="4" t="s">
        <v>11494</v>
      </c>
      <c r="L3616" s="5">
        <v>54646</v>
      </c>
    </row>
    <row r="3617" spans="1:12" x14ac:dyDescent="0.25">
      <c r="A3617" s="3" t="s">
        <v>10786</v>
      </c>
      <c r="B3617" s="4" t="s">
        <v>10787</v>
      </c>
      <c r="C3617" s="4" t="s">
        <v>25</v>
      </c>
      <c r="D3617" s="4" t="s">
        <v>26</v>
      </c>
      <c r="E3617" s="5" t="str">
        <f>"9190334"</f>
        <v>9190334</v>
      </c>
      <c r="F3617" s="3" t="s">
        <v>11495</v>
      </c>
      <c r="G3617" s="5">
        <v>2396041593</v>
      </c>
      <c r="H3617" s="4" t="s">
        <v>11496</v>
      </c>
      <c r="I3617" s="4" t="s">
        <v>10804</v>
      </c>
      <c r="J3617" s="4" t="s">
        <v>3167</v>
      </c>
      <c r="K3617" s="4" t="s">
        <v>3167</v>
      </c>
      <c r="L3617" s="5">
        <v>57001</v>
      </c>
    </row>
    <row r="3618" spans="1:12" x14ac:dyDescent="0.25">
      <c r="A3618" s="3" t="s">
        <v>10786</v>
      </c>
      <c r="B3618" s="4" t="s">
        <v>10787</v>
      </c>
      <c r="C3618" s="4" t="s">
        <v>25</v>
      </c>
      <c r="D3618" s="4" t="s">
        <v>26</v>
      </c>
      <c r="E3618" s="5" t="str">
        <f>"9521525"</f>
        <v>9521525</v>
      </c>
      <c r="F3618" s="3" t="s">
        <v>11497</v>
      </c>
      <c r="G3618" s="5">
        <v>2310365970</v>
      </c>
      <c r="H3618" s="4" t="s">
        <v>11498</v>
      </c>
      <c r="I3618" s="4" t="s">
        <v>10804</v>
      </c>
      <c r="J3618" s="4" t="s">
        <v>10831</v>
      </c>
      <c r="K3618" s="4" t="s">
        <v>11499</v>
      </c>
      <c r="L3618" s="5">
        <v>57001</v>
      </c>
    </row>
    <row r="3619" spans="1:12" x14ac:dyDescent="0.25">
      <c r="A3619" s="3" t="s">
        <v>10786</v>
      </c>
      <c r="B3619" s="4" t="s">
        <v>10787</v>
      </c>
      <c r="C3619" s="4" t="s">
        <v>14</v>
      </c>
      <c r="D3619" s="4" t="s">
        <v>15</v>
      </c>
      <c r="E3619" s="5" t="str">
        <f>"9190345"</f>
        <v>9190345</v>
      </c>
      <c r="F3619" s="3" t="s">
        <v>11500</v>
      </c>
      <c r="G3619" s="5">
        <v>2392031008</v>
      </c>
      <c r="H3619" s="4" t="s">
        <v>11501</v>
      </c>
      <c r="I3619" s="4" t="s">
        <v>10898</v>
      </c>
      <c r="J3619" s="4" t="s">
        <v>11502</v>
      </c>
      <c r="K3619" s="4" t="s">
        <v>11503</v>
      </c>
      <c r="L3619" s="5">
        <v>57004</v>
      </c>
    </row>
    <row r="3620" spans="1:12" x14ac:dyDescent="0.25">
      <c r="A3620" s="3" t="s">
        <v>10786</v>
      </c>
      <c r="B3620" s="4" t="s">
        <v>10787</v>
      </c>
      <c r="C3620" s="4" t="s">
        <v>14</v>
      </c>
      <c r="D3620" s="4" t="s">
        <v>15</v>
      </c>
      <c r="E3620" s="5" t="str">
        <f>"9521622"</f>
        <v>9521622</v>
      </c>
      <c r="F3620" s="3" t="s">
        <v>11504</v>
      </c>
      <c r="G3620" s="5">
        <v>2392066435</v>
      </c>
      <c r="H3620" s="4" t="s">
        <v>11505</v>
      </c>
      <c r="I3620" s="4" t="s">
        <v>10804</v>
      </c>
      <c r="J3620" s="4" t="s">
        <v>10962</v>
      </c>
      <c r="K3620" s="4" t="s">
        <v>11506</v>
      </c>
      <c r="L3620" s="5">
        <v>57500</v>
      </c>
    </row>
    <row r="3621" spans="1:12" x14ac:dyDescent="0.25">
      <c r="A3621" s="3" t="s">
        <v>10786</v>
      </c>
      <c r="B3621" s="4" t="s">
        <v>10787</v>
      </c>
      <c r="C3621" s="4" t="s">
        <v>25</v>
      </c>
      <c r="D3621" s="4" t="s">
        <v>26</v>
      </c>
      <c r="E3621" s="5" t="str">
        <f>"9191003"</f>
        <v>9191003</v>
      </c>
      <c r="F3621" s="3" t="s">
        <v>11507</v>
      </c>
      <c r="G3621" s="5">
        <v>2316025605</v>
      </c>
      <c r="H3621" s="4" t="s">
        <v>11508</v>
      </c>
      <c r="I3621" s="4" t="s">
        <v>10823</v>
      </c>
      <c r="J3621" s="4" t="s">
        <v>10835</v>
      </c>
      <c r="K3621" s="4" t="s">
        <v>11509</v>
      </c>
      <c r="L3621" s="5">
        <v>55535</v>
      </c>
    </row>
    <row r="3622" spans="1:12" x14ac:dyDescent="0.25">
      <c r="A3622" s="3" t="s">
        <v>10786</v>
      </c>
      <c r="B3622" s="4" t="s">
        <v>11510</v>
      </c>
      <c r="C3622" s="4" t="s">
        <v>25</v>
      </c>
      <c r="D3622" s="4" t="s">
        <v>26</v>
      </c>
      <c r="E3622" s="5" t="str">
        <f>"9190514"</f>
        <v>9190514</v>
      </c>
      <c r="F3622" s="3" t="s">
        <v>11511</v>
      </c>
      <c r="G3622" s="5">
        <v>2310762120</v>
      </c>
      <c r="H3622" s="4" t="s">
        <v>11512</v>
      </c>
      <c r="I3622" s="4" t="s">
        <v>11513</v>
      </c>
      <c r="J3622" s="4" t="s">
        <v>11514</v>
      </c>
      <c r="K3622" s="4" t="s">
        <v>11515</v>
      </c>
      <c r="L3622" s="5">
        <v>56334</v>
      </c>
    </row>
    <row r="3623" spans="1:12" x14ac:dyDescent="0.25">
      <c r="A3623" s="3" t="s">
        <v>10786</v>
      </c>
      <c r="B3623" s="4" t="s">
        <v>11510</v>
      </c>
      <c r="C3623" s="4" t="s">
        <v>25</v>
      </c>
      <c r="D3623" s="4" t="s">
        <v>26</v>
      </c>
      <c r="E3623" s="5" t="str">
        <f>"9190127"</f>
        <v>9190127</v>
      </c>
      <c r="F3623" s="3" t="s">
        <v>11516</v>
      </c>
      <c r="G3623" s="5">
        <v>2310761596</v>
      </c>
      <c r="H3623" s="4" t="s">
        <v>11517</v>
      </c>
      <c r="I3623" s="4" t="s">
        <v>11513</v>
      </c>
      <c r="J3623" s="4" t="s">
        <v>11518</v>
      </c>
      <c r="K3623" s="4" t="s">
        <v>11519</v>
      </c>
      <c r="L3623" s="5">
        <v>56224</v>
      </c>
    </row>
    <row r="3624" spans="1:12" x14ac:dyDescent="0.25">
      <c r="A3624" s="3" t="s">
        <v>10786</v>
      </c>
      <c r="B3624" s="4" t="s">
        <v>11510</v>
      </c>
      <c r="C3624" s="4" t="s">
        <v>25</v>
      </c>
      <c r="D3624" s="4" t="s">
        <v>821</v>
      </c>
      <c r="E3624" s="5" t="str">
        <f>"9190457"</f>
        <v>9190457</v>
      </c>
      <c r="F3624" s="3" t="s">
        <v>11520</v>
      </c>
      <c r="G3624" s="5">
        <v>2316008877</v>
      </c>
      <c r="H3624" s="4" t="s">
        <v>11521</v>
      </c>
      <c r="I3624" s="4" t="s">
        <v>11513</v>
      </c>
      <c r="J3624" s="4" t="s">
        <v>11518</v>
      </c>
      <c r="K3624" s="4" t="s">
        <v>11522</v>
      </c>
      <c r="L3624" s="5">
        <v>56224</v>
      </c>
    </row>
    <row r="3625" spans="1:12" x14ac:dyDescent="0.25">
      <c r="A3625" s="3" t="s">
        <v>10786</v>
      </c>
      <c r="B3625" s="4" t="s">
        <v>11510</v>
      </c>
      <c r="C3625" s="4" t="s">
        <v>25</v>
      </c>
      <c r="D3625" s="4" t="s">
        <v>26</v>
      </c>
      <c r="E3625" s="5" t="str">
        <f>"9190458"</f>
        <v>9190458</v>
      </c>
      <c r="F3625" s="3" t="s">
        <v>11523</v>
      </c>
      <c r="G3625" s="5">
        <v>2310574177</v>
      </c>
      <c r="H3625" s="4" t="s">
        <v>11524</v>
      </c>
      <c r="I3625" s="4" t="s">
        <v>11513</v>
      </c>
      <c r="J3625" s="4" t="s">
        <v>11518</v>
      </c>
      <c r="K3625" s="4" t="s">
        <v>11525</v>
      </c>
      <c r="L3625" s="5">
        <v>56224</v>
      </c>
    </row>
    <row r="3626" spans="1:12" x14ac:dyDescent="0.25">
      <c r="A3626" s="3" t="s">
        <v>10786</v>
      </c>
      <c r="B3626" s="4" t="s">
        <v>11510</v>
      </c>
      <c r="C3626" s="4" t="s">
        <v>25</v>
      </c>
      <c r="D3626" s="4" t="s">
        <v>26</v>
      </c>
      <c r="E3626" s="5" t="str">
        <f>"9190107"</f>
        <v>9190107</v>
      </c>
      <c r="F3626" s="3" t="s">
        <v>11526</v>
      </c>
      <c r="G3626" s="5">
        <v>2310640102</v>
      </c>
      <c r="H3626" s="4" t="s">
        <v>11527</v>
      </c>
      <c r="I3626" s="4" t="s">
        <v>11513</v>
      </c>
      <c r="J3626" s="4" t="s">
        <v>11518</v>
      </c>
      <c r="K3626" s="4" t="s">
        <v>11528</v>
      </c>
      <c r="L3626" s="5">
        <v>56224</v>
      </c>
    </row>
    <row r="3627" spans="1:12" x14ac:dyDescent="0.25">
      <c r="A3627" s="3" t="s">
        <v>10786</v>
      </c>
      <c r="B3627" s="4" t="s">
        <v>11510</v>
      </c>
      <c r="C3627" s="4" t="s">
        <v>25</v>
      </c>
      <c r="D3627" s="4" t="s">
        <v>26</v>
      </c>
      <c r="E3627" s="5" t="str">
        <f>"9190512"</f>
        <v>9190512</v>
      </c>
      <c r="F3627" s="3" t="s">
        <v>11529</v>
      </c>
      <c r="G3627" s="5">
        <v>2310640665</v>
      </c>
      <c r="H3627" s="4" t="s">
        <v>11530</v>
      </c>
      <c r="I3627" s="4" t="s">
        <v>11513</v>
      </c>
      <c r="J3627" s="4" t="s">
        <v>11518</v>
      </c>
      <c r="K3627" s="4" t="s">
        <v>11531</v>
      </c>
      <c r="L3627" s="5">
        <v>56226</v>
      </c>
    </row>
    <row r="3628" spans="1:12" x14ac:dyDescent="0.25">
      <c r="A3628" s="3" t="s">
        <v>10786</v>
      </c>
      <c r="B3628" s="4" t="s">
        <v>11510</v>
      </c>
      <c r="C3628" s="4" t="s">
        <v>25</v>
      </c>
      <c r="D3628" s="4" t="s">
        <v>26</v>
      </c>
      <c r="E3628" s="5" t="str">
        <f>"9190123"</f>
        <v>9190123</v>
      </c>
      <c r="F3628" s="3" t="s">
        <v>11532</v>
      </c>
      <c r="G3628" s="5">
        <v>2310764007</v>
      </c>
      <c r="H3628" s="4" t="s">
        <v>11533</v>
      </c>
      <c r="I3628" s="4" t="s">
        <v>11513</v>
      </c>
      <c r="J3628" s="4" t="s">
        <v>11514</v>
      </c>
      <c r="K3628" s="4" t="s">
        <v>11534</v>
      </c>
      <c r="L3628" s="5">
        <v>56334</v>
      </c>
    </row>
    <row r="3629" spans="1:12" x14ac:dyDescent="0.25">
      <c r="A3629" s="3" t="s">
        <v>10786</v>
      </c>
      <c r="B3629" s="4" t="s">
        <v>11510</v>
      </c>
      <c r="C3629" s="4" t="s">
        <v>25</v>
      </c>
      <c r="D3629" s="4" t="s">
        <v>26</v>
      </c>
      <c r="E3629" s="5" t="str">
        <f>"9190456"</f>
        <v>9190456</v>
      </c>
      <c r="F3629" s="3" t="s">
        <v>11535</v>
      </c>
      <c r="G3629" s="5">
        <v>2310764390</v>
      </c>
      <c r="H3629" s="4" t="s">
        <v>11536</v>
      </c>
      <c r="I3629" s="4" t="s">
        <v>11513</v>
      </c>
      <c r="J3629" s="4" t="s">
        <v>11514</v>
      </c>
      <c r="K3629" s="4" t="s">
        <v>11537</v>
      </c>
      <c r="L3629" s="5">
        <v>56334</v>
      </c>
    </row>
    <row r="3630" spans="1:12" x14ac:dyDescent="0.25">
      <c r="A3630" s="3" t="s">
        <v>10786</v>
      </c>
      <c r="B3630" s="4" t="s">
        <v>11510</v>
      </c>
      <c r="C3630" s="4" t="s">
        <v>25</v>
      </c>
      <c r="D3630" s="4" t="s">
        <v>26</v>
      </c>
      <c r="E3630" s="5" t="str">
        <f>"9190607"</f>
        <v>9190607</v>
      </c>
      <c r="F3630" s="3" t="s">
        <v>11538</v>
      </c>
      <c r="G3630" s="5">
        <v>2310707176</v>
      </c>
      <c r="H3630" s="4" t="s">
        <v>11539</v>
      </c>
      <c r="I3630" s="4" t="s">
        <v>11513</v>
      </c>
      <c r="J3630" s="4" t="s">
        <v>11514</v>
      </c>
      <c r="K3630" s="4" t="s">
        <v>11540</v>
      </c>
      <c r="L3630" s="5">
        <v>56334</v>
      </c>
    </row>
    <row r="3631" spans="1:12" x14ac:dyDescent="0.25">
      <c r="A3631" s="3" t="s">
        <v>10786</v>
      </c>
      <c r="B3631" s="4" t="s">
        <v>11510</v>
      </c>
      <c r="C3631" s="4" t="s">
        <v>25</v>
      </c>
      <c r="D3631" s="4" t="s">
        <v>26</v>
      </c>
      <c r="E3631" s="5" t="str">
        <f>"9190826"</f>
        <v>9190826</v>
      </c>
      <c r="F3631" s="3" t="s">
        <v>11541</v>
      </c>
      <c r="G3631" s="5">
        <v>2310757849</v>
      </c>
      <c r="H3631" s="4" t="s">
        <v>11542</v>
      </c>
      <c r="I3631" s="4" t="s">
        <v>11513</v>
      </c>
      <c r="J3631" s="4" t="s">
        <v>11514</v>
      </c>
      <c r="K3631" s="4" t="s">
        <v>11543</v>
      </c>
      <c r="L3631" s="5">
        <v>56334</v>
      </c>
    </row>
    <row r="3632" spans="1:12" x14ac:dyDescent="0.25">
      <c r="A3632" s="3" t="s">
        <v>10786</v>
      </c>
      <c r="B3632" s="4" t="s">
        <v>11510</v>
      </c>
      <c r="C3632" s="4" t="s">
        <v>25</v>
      </c>
      <c r="D3632" s="4" t="s">
        <v>26</v>
      </c>
      <c r="E3632" s="5" t="str">
        <f>"9190853"</f>
        <v>9190853</v>
      </c>
      <c r="F3632" s="3" t="s">
        <v>11544</v>
      </c>
      <c r="G3632" s="5">
        <v>2310759381</v>
      </c>
      <c r="H3632" s="4" t="s">
        <v>11545</v>
      </c>
      <c r="I3632" s="4" t="s">
        <v>11513</v>
      </c>
      <c r="J3632" s="4" t="s">
        <v>11518</v>
      </c>
      <c r="K3632" s="4" t="s">
        <v>11546</v>
      </c>
      <c r="L3632" s="5">
        <v>56224</v>
      </c>
    </row>
    <row r="3633" spans="1:12" x14ac:dyDescent="0.25">
      <c r="A3633" s="3" t="s">
        <v>10786</v>
      </c>
      <c r="B3633" s="4" t="s">
        <v>11510</v>
      </c>
      <c r="C3633" s="4" t="s">
        <v>25</v>
      </c>
      <c r="D3633" s="4" t="s">
        <v>26</v>
      </c>
      <c r="E3633" s="5" t="str">
        <f>"9190943"</f>
        <v>9190943</v>
      </c>
      <c r="F3633" s="3" t="s">
        <v>11547</v>
      </c>
      <c r="G3633" s="5">
        <v>2310772925</v>
      </c>
      <c r="H3633" s="4" t="s">
        <v>11548</v>
      </c>
      <c r="I3633" s="4" t="s">
        <v>11513</v>
      </c>
      <c r="J3633" s="4" t="s">
        <v>11518</v>
      </c>
      <c r="K3633" s="4" t="s">
        <v>11549</v>
      </c>
      <c r="L3633" s="5">
        <v>56224</v>
      </c>
    </row>
    <row r="3634" spans="1:12" x14ac:dyDescent="0.25">
      <c r="A3634" s="3" t="s">
        <v>10786</v>
      </c>
      <c r="B3634" s="4" t="s">
        <v>11510</v>
      </c>
      <c r="C3634" s="4" t="s">
        <v>25</v>
      </c>
      <c r="D3634" s="4" t="s">
        <v>26</v>
      </c>
      <c r="E3634" s="5" t="str">
        <f>"9520661"</f>
        <v>9520661</v>
      </c>
      <c r="F3634" s="3" t="s">
        <v>11550</v>
      </c>
      <c r="G3634" s="5">
        <v>2310641927</v>
      </c>
      <c r="H3634" s="4" t="s">
        <v>11551</v>
      </c>
      <c r="I3634" s="4" t="s">
        <v>11513</v>
      </c>
      <c r="J3634" s="4" t="s">
        <v>11518</v>
      </c>
      <c r="K3634" s="4" t="s">
        <v>11552</v>
      </c>
      <c r="L3634" s="5">
        <v>56431</v>
      </c>
    </row>
    <row r="3635" spans="1:12" x14ac:dyDescent="0.25">
      <c r="A3635" s="3" t="s">
        <v>10786</v>
      </c>
      <c r="B3635" s="4" t="s">
        <v>11510</v>
      </c>
      <c r="C3635" s="4" t="s">
        <v>25</v>
      </c>
      <c r="D3635" s="4" t="s">
        <v>26</v>
      </c>
      <c r="E3635" s="5" t="str">
        <f>"9520665"</f>
        <v>9520665</v>
      </c>
      <c r="F3635" s="3" t="s">
        <v>11553</v>
      </c>
      <c r="G3635" s="5">
        <v>2310574176</v>
      </c>
      <c r="H3635" s="4" t="s">
        <v>11554</v>
      </c>
      <c r="I3635" s="4" t="s">
        <v>11513</v>
      </c>
      <c r="J3635" s="4" t="s">
        <v>11518</v>
      </c>
      <c r="K3635" s="4" t="s">
        <v>11525</v>
      </c>
      <c r="L3635" s="5">
        <v>56224</v>
      </c>
    </row>
    <row r="3636" spans="1:12" x14ac:dyDescent="0.25">
      <c r="A3636" s="3" t="s">
        <v>10786</v>
      </c>
      <c r="B3636" s="4" t="s">
        <v>11510</v>
      </c>
      <c r="C3636" s="4" t="s">
        <v>25</v>
      </c>
      <c r="D3636" s="4" t="s">
        <v>26</v>
      </c>
      <c r="E3636" s="5" t="str">
        <f>"9520750"</f>
        <v>9520750</v>
      </c>
      <c r="F3636" s="3" t="s">
        <v>11555</v>
      </c>
      <c r="G3636" s="5">
        <v>2310704071</v>
      </c>
      <c r="H3636" s="4" t="s">
        <v>11556</v>
      </c>
      <c r="I3636" s="4" t="s">
        <v>11513</v>
      </c>
      <c r="J3636" s="4" t="s">
        <v>11557</v>
      </c>
      <c r="K3636" s="4" t="s">
        <v>11558</v>
      </c>
      <c r="L3636" s="5">
        <v>56224</v>
      </c>
    </row>
    <row r="3637" spans="1:12" x14ac:dyDescent="0.25">
      <c r="A3637" s="3" t="s">
        <v>10786</v>
      </c>
      <c r="B3637" s="4" t="s">
        <v>11510</v>
      </c>
      <c r="C3637" s="4" t="s">
        <v>25</v>
      </c>
      <c r="D3637" s="4" t="s">
        <v>26</v>
      </c>
      <c r="E3637" s="5" t="str">
        <f>"9520751"</f>
        <v>9520751</v>
      </c>
      <c r="F3637" s="3" t="s">
        <v>11559</v>
      </c>
      <c r="G3637" s="5">
        <v>2310776810</v>
      </c>
      <c r="H3637" s="4" t="s">
        <v>11560</v>
      </c>
      <c r="I3637" s="4" t="s">
        <v>11513</v>
      </c>
      <c r="J3637" s="4" t="s">
        <v>11518</v>
      </c>
      <c r="K3637" s="4" t="s">
        <v>11561</v>
      </c>
      <c r="L3637" s="5">
        <v>56224</v>
      </c>
    </row>
    <row r="3638" spans="1:12" x14ac:dyDescent="0.25">
      <c r="A3638" s="3" t="s">
        <v>10786</v>
      </c>
      <c r="B3638" s="4" t="s">
        <v>11510</v>
      </c>
      <c r="C3638" s="4" t="s">
        <v>25</v>
      </c>
      <c r="D3638" s="4" t="s">
        <v>26</v>
      </c>
      <c r="E3638" s="5" t="str">
        <f>"9190104"</f>
        <v>9190104</v>
      </c>
      <c r="F3638" s="3" t="s">
        <v>11562</v>
      </c>
      <c r="G3638" s="5">
        <v>2310665499</v>
      </c>
      <c r="H3638" s="4" t="s">
        <v>11563</v>
      </c>
      <c r="I3638" s="4" t="s">
        <v>11564</v>
      </c>
      <c r="J3638" s="4" t="s">
        <v>11565</v>
      </c>
      <c r="K3638" s="4" t="s">
        <v>11566</v>
      </c>
      <c r="L3638" s="5">
        <v>56430</v>
      </c>
    </row>
    <row r="3639" spans="1:12" x14ac:dyDescent="0.25">
      <c r="A3639" s="3" t="s">
        <v>10786</v>
      </c>
      <c r="B3639" s="4" t="s">
        <v>11510</v>
      </c>
      <c r="C3639" s="4" t="s">
        <v>25</v>
      </c>
      <c r="D3639" s="4" t="s">
        <v>26</v>
      </c>
      <c r="E3639" s="5" t="str">
        <f>"9190105"</f>
        <v>9190105</v>
      </c>
      <c r="F3639" s="3" t="s">
        <v>11567</v>
      </c>
      <c r="G3639" s="5">
        <v>2310609545</v>
      </c>
      <c r="H3639" s="4" t="s">
        <v>11568</v>
      </c>
      <c r="I3639" s="4" t="s">
        <v>11564</v>
      </c>
      <c r="J3639" s="4" t="s">
        <v>11565</v>
      </c>
      <c r="K3639" s="4" t="s">
        <v>11569</v>
      </c>
      <c r="L3639" s="5">
        <v>56430</v>
      </c>
    </row>
    <row r="3640" spans="1:12" x14ac:dyDescent="0.25">
      <c r="A3640" s="3" t="s">
        <v>10786</v>
      </c>
      <c r="B3640" s="4" t="s">
        <v>11510</v>
      </c>
      <c r="C3640" s="4" t="s">
        <v>25</v>
      </c>
      <c r="D3640" s="4" t="s">
        <v>26</v>
      </c>
      <c r="E3640" s="5" t="str">
        <f>"9190106"</f>
        <v>9190106</v>
      </c>
      <c r="F3640" s="3" t="s">
        <v>11570</v>
      </c>
      <c r="G3640" s="5">
        <v>2316010899</v>
      </c>
      <c r="H3640" s="4" t="s">
        <v>11571</v>
      </c>
      <c r="I3640" s="4" t="s">
        <v>11564</v>
      </c>
      <c r="J3640" s="4" t="s">
        <v>11565</v>
      </c>
      <c r="K3640" s="4" t="s">
        <v>11572</v>
      </c>
      <c r="L3640" s="5">
        <v>56431</v>
      </c>
    </row>
    <row r="3641" spans="1:12" x14ac:dyDescent="0.25">
      <c r="A3641" s="3" t="s">
        <v>10786</v>
      </c>
      <c r="B3641" s="4" t="s">
        <v>11510</v>
      </c>
      <c r="C3641" s="4" t="s">
        <v>25</v>
      </c>
      <c r="D3641" s="4" t="s">
        <v>26</v>
      </c>
      <c r="E3641" s="5" t="str">
        <f>"9190313"</f>
        <v>9190313</v>
      </c>
      <c r="F3641" s="3" t="s">
        <v>11573</v>
      </c>
      <c r="G3641" s="5">
        <v>2310713555</v>
      </c>
      <c r="H3641" s="4" t="s">
        <v>11574</v>
      </c>
      <c r="I3641" s="4" t="s">
        <v>11575</v>
      </c>
      <c r="J3641" s="4" t="s">
        <v>11576</v>
      </c>
      <c r="K3641" s="4" t="s">
        <v>11577</v>
      </c>
      <c r="L3641" s="5">
        <v>57011</v>
      </c>
    </row>
    <row r="3642" spans="1:12" x14ac:dyDescent="0.25">
      <c r="A3642" s="3" t="s">
        <v>10786</v>
      </c>
      <c r="B3642" s="4" t="s">
        <v>11510</v>
      </c>
      <c r="C3642" s="4" t="s">
        <v>25</v>
      </c>
      <c r="D3642" s="4" t="s">
        <v>26</v>
      </c>
      <c r="E3642" s="5" t="str">
        <f>"9190108"</f>
        <v>9190108</v>
      </c>
      <c r="F3642" s="3" t="s">
        <v>11578</v>
      </c>
      <c r="G3642" s="5">
        <v>2310653574</v>
      </c>
      <c r="H3642" s="4" t="s">
        <v>11579</v>
      </c>
      <c r="I3642" s="4" t="s">
        <v>11564</v>
      </c>
      <c r="J3642" s="4" t="s">
        <v>11565</v>
      </c>
      <c r="K3642" s="4" t="s">
        <v>11580</v>
      </c>
      <c r="L3642" s="5">
        <v>56431</v>
      </c>
    </row>
    <row r="3643" spans="1:12" x14ac:dyDescent="0.25">
      <c r="A3643" s="3" t="s">
        <v>10786</v>
      </c>
      <c r="B3643" s="4" t="s">
        <v>11510</v>
      </c>
      <c r="C3643" s="4" t="s">
        <v>25</v>
      </c>
      <c r="D3643" s="4" t="s">
        <v>26</v>
      </c>
      <c r="E3643" s="5" t="str">
        <f>"9190109"</f>
        <v>9190109</v>
      </c>
      <c r="F3643" s="3" t="s">
        <v>11581</v>
      </c>
      <c r="G3643" s="5">
        <v>2310651061</v>
      </c>
      <c r="H3643" s="4" t="s">
        <v>11582</v>
      </c>
      <c r="I3643" s="4" t="s">
        <v>11564</v>
      </c>
      <c r="J3643" s="4" t="s">
        <v>11565</v>
      </c>
      <c r="K3643" s="4" t="s">
        <v>11583</v>
      </c>
      <c r="L3643" s="5">
        <v>56431</v>
      </c>
    </row>
    <row r="3644" spans="1:12" x14ac:dyDescent="0.25">
      <c r="A3644" s="3" t="s">
        <v>10786</v>
      </c>
      <c r="B3644" s="4" t="s">
        <v>11510</v>
      </c>
      <c r="C3644" s="4" t="s">
        <v>25</v>
      </c>
      <c r="D3644" s="4" t="s">
        <v>26</v>
      </c>
      <c r="E3644" s="5" t="str">
        <f>"9190599"</f>
        <v>9190599</v>
      </c>
      <c r="F3644" s="3" t="s">
        <v>11584</v>
      </c>
      <c r="G3644" s="5">
        <v>2310654922</v>
      </c>
      <c r="H3644" s="4" t="s">
        <v>11585</v>
      </c>
      <c r="I3644" s="4" t="s">
        <v>11564</v>
      </c>
      <c r="J3644" s="4" t="s">
        <v>11565</v>
      </c>
      <c r="K3644" s="4" t="s">
        <v>11586</v>
      </c>
      <c r="L3644" s="5">
        <v>56430</v>
      </c>
    </row>
    <row r="3645" spans="1:12" x14ac:dyDescent="0.25">
      <c r="A3645" s="3" t="s">
        <v>10786</v>
      </c>
      <c r="B3645" s="4" t="s">
        <v>11510</v>
      </c>
      <c r="C3645" s="4" t="s">
        <v>25</v>
      </c>
      <c r="D3645" s="4" t="s">
        <v>26</v>
      </c>
      <c r="E3645" s="5" t="str">
        <f>"9190600"</f>
        <v>9190600</v>
      </c>
      <c r="F3645" s="3" t="s">
        <v>11587</v>
      </c>
      <c r="G3645" s="5">
        <v>2310659772</v>
      </c>
      <c r="H3645" s="4" t="s">
        <v>11588</v>
      </c>
      <c r="I3645" s="4" t="s">
        <v>11564</v>
      </c>
      <c r="J3645" s="4" t="s">
        <v>11565</v>
      </c>
      <c r="K3645" s="4" t="s">
        <v>11589</v>
      </c>
      <c r="L3645" s="5">
        <v>56430</v>
      </c>
    </row>
    <row r="3646" spans="1:12" x14ac:dyDescent="0.25">
      <c r="A3646" s="3" t="s">
        <v>10786</v>
      </c>
      <c r="B3646" s="4" t="s">
        <v>11510</v>
      </c>
      <c r="C3646" s="4" t="s">
        <v>25</v>
      </c>
      <c r="D3646" s="4" t="s">
        <v>26</v>
      </c>
      <c r="E3646" s="5" t="str">
        <f>"9190684"</f>
        <v>9190684</v>
      </c>
      <c r="F3646" s="3" t="s">
        <v>11590</v>
      </c>
      <c r="G3646" s="5">
        <v>2310658677</v>
      </c>
      <c r="H3646" s="4" t="s">
        <v>11591</v>
      </c>
      <c r="I3646" s="4" t="s">
        <v>11564</v>
      </c>
      <c r="J3646" s="4" t="s">
        <v>11565</v>
      </c>
      <c r="K3646" s="4" t="s">
        <v>11592</v>
      </c>
      <c r="L3646" s="5">
        <v>56431</v>
      </c>
    </row>
    <row r="3647" spans="1:12" x14ac:dyDescent="0.25">
      <c r="A3647" s="3" t="s">
        <v>10786</v>
      </c>
      <c r="B3647" s="4" t="s">
        <v>11510</v>
      </c>
      <c r="C3647" s="4" t="s">
        <v>25</v>
      </c>
      <c r="D3647" s="4" t="s">
        <v>26</v>
      </c>
      <c r="E3647" s="5" t="str">
        <f>"9190685"</f>
        <v>9190685</v>
      </c>
      <c r="F3647" s="3" t="s">
        <v>11593</v>
      </c>
      <c r="G3647" s="5">
        <v>2310602137</v>
      </c>
      <c r="H3647" s="4" t="s">
        <v>11594</v>
      </c>
      <c r="I3647" s="4" t="s">
        <v>11564</v>
      </c>
      <c r="J3647" s="4" t="s">
        <v>11565</v>
      </c>
      <c r="K3647" s="4" t="s">
        <v>11595</v>
      </c>
      <c r="L3647" s="5">
        <v>56431</v>
      </c>
    </row>
    <row r="3648" spans="1:12" x14ac:dyDescent="0.25">
      <c r="A3648" s="3" t="s">
        <v>10786</v>
      </c>
      <c r="B3648" s="4" t="s">
        <v>11510</v>
      </c>
      <c r="C3648" s="4" t="s">
        <v>25</v>
      </c>
      <c r="D3648" s="4" t="s">
        <v>26</v>
      </c>
      <c r="E3648" s="5" t="str">
        <f>"9190601"</f>
        <v>9190601</v>
      </c>
      <c r="F3648" s="3" t="s">
        <v>11596</v>
      </c>
      <c r="G3648" s="5">
        <v>2310587230</v>
      </c>
      <c r="H3648" s="4" t="s">
        <v>11597</v>
      </c>
      <c r="I3648" s="4" t="s">
        <v>11564</v>
      </c>
      <c r="J3648" s="4" t="s">
        <v>11565</v>
      </c>
      <c r="K3648" s="4" t="s">
        <v>11598</v>
      </c>
      <c r="L3648" s="5">
        <v>56430</v>
      </c>
    </row>
    <row r="3649" spans="1:12" x14ac:dyDescent="0.25">
      <c r="A3649" s="3" t="s">
        <v>10786</v>
      </c>
      <c r="B3649" s="4" t="s">
        <v>11510</v>
      </c>
      <c r="C3649" s="4" t="s">
        <v>25</v>
      </c>
      <c r="D3649" s="4" t="s">
        <v>26</v>
      </c>
      <c r="E3649" s="5" t="str">
        <f>"9190602"</f>
        <v>9190602</v>
      </c>
      <c r="F3649" s="3" t="s">
        <v>11599</v>
      </c>
      <c r="G3649" s="5">
        <v>2310683841</v>
      </c>
      <c r="H3649" s="4" t="s">
        <v>11600</v>
      </c>
      <c r="I3649" s="4" t="s">
        <v>11564</v>
      </c>
      <c r="J3649" s="4" t="s">
        <v>11565</v>
      </c>
      <c r="K3649" s="4" t="s">
        <v>11601</v>
      </c>
      <c r="L3649" s="5">
        <v>56430</v>
      </c>
    </row>
    <row r="3650" spans="1:12" x14ac:dyDescent="0.25">
      <c r="A3650" s="3" t="s">
        <v>10786</v>
      </c>
      <c r="B3650" s="4" t="s">
        <v>11510</v>
      </c>
      <c r="C3650" s="4" t="s">
        <v>25</v>
      </c>
      <c r="D3650" s="4" t="s">
        <v>26</v>
      </c>
      <c r="E3650" s="5" t="str">
        <f>"9190739"</f>
        <v>9190739</v>
      </c>
      <c r="F3650" s="3" t="s">
        <v>11602</v>
      </c>
      <c r="G3650" s="5">
        <v>2310656275</v>
      </c>
      <c r="H3650" s="4" t="s">
        <v>11603</v>
      </c>
      <c r="I3650" s="4" t="s">
        <v>11564</v>
      </c>
      <c r="J3650" s="4" t="s">
        <v>11565</v>
      </c>
      <c r="K3650" s="4" t="s">
        <v>11604</v>
      </c>
      <c r="L3650" s="5">
        <v>56429</v>
      </c>
    </row>
    <row r="3651" spans="1:12" x14ac:dyDescent="0.25">
      <c r="A3651" s="3" t="s">
        <v>10786</v>
      </c>
      <c r="B3651" s="4" t="s">
        <v>11510</v>
      </c>
      <c r="C3651" s="4" t="s">
        <v>25</v>
      </c>
      <c r="D3651" s="4" t="s">
        <v>26</v>
      </c>
      <c r="E3651" s="5" t="str">
        <f>"9520851"</f>
        <v>9520851</v>
      </c>
      <c r="F3651" s="3" t="s">
        <v>11605</v>
      </c>
      <c r="G3651" s="5">
        <v>2310690450</v>
      </c>
      <c r="H3651" s="4" t="s">
        <v>11606</v>
      </c>
      <c r="I3651" s="4" t="s">
        <v>11564</v>
      </c>
      <c r="J3651" s="4" t="s">
        <v>11565</v>
      </c>
      <c r="K3651" s="4" t="s">
        <v>11607</v>
      </c>
      <c r="L3651" s="5">
        <v>56430</v>
      </c>
    </row>
    <row r="3652" spans="1:12" x14ac:dyDescent="0.25">
      <c r="A3652" s="3" t="s">
        <v>10786</v>
      </c>
      <c r="B3652" s="4" t="s">
        <v>11510</v>
      </c>
      <c r="C3652" s="4" t="s">
        <v>25</v>
      </c>
      <c r="D3652" s="4" t="s">
        <v>26</v>
      </c>
      <c r="E3652" s="5" t="str">
        <f>"9520925"</f>
        <v>9520925</v>
      </c>
      <c r="F3652" s="3" t="s">
        <v>11608</v>
      </c>
      <c r="G3652" s="5">
        <v>2310757551</v>
      </c>
      <c r="H3652" s="4" t="s">
        <v>11609</v>
      </c>
      <c r="I3652" s="4" t="s">
        <v>11513</v>
      </c>
      <c r="J3652" s="4" t="s">
        <v>11518</v>
      </c>
      <c r="K3652" s="4" t="s">
        <v>11610</v>
      </c>
      <c r="L3652" s="5">
        <v>56224</v>
      </c>
    </row>
    <row r="3653" spans="1:12" x14ac:dyDescent="0.25">
      <c r="A3653" s="3" t="s">
        <v>10786</v>
      </c>
      <c r="B3653" s="4" t="s">
        <v>11510</v>
      </c>
      <c r="C3653" s="4" t="s">
        <v>25</v>
      </c>
      <c r="D3653" s="4" t="s">
        <v>26</v>
      </c>
      <c r="E3653" s="5" t="str">
        <f>"9520979"</f>
        <v>9520979</v>
      </c>
      <c r="F3653" s="3" t="s">
        <v>11611</v>
      </c>
      <c r="G3653" s="5">
        <v>2310609639</v>
      </c>
      <c r="H3653" s="4" t="s">
        <v>11612</v>
      </c>
      <c r="I3653" s="4" t="s">
        <v>11513</v>
      </c>
      <c r="J3653" s="4" t="s">
        <v>11518</v>
      </c>
      <c r="K3653" s="4" t="s">
        <v>11613</v>
      </c>
      <c r="L3653" s="5">
        <v>56224</v>
      </c>
    </row>
    <row r="3654" spans="1:12" x14ac:dyDescent="0.25">
      <c r="A3654" s="3" t="s">
        <v>10786</v>
      </c>
      <c r="B3654" s="4" t="s">
        <v>11510</v>
      </c>
      <c r="C3654" s="4" t="s">
        <v>25</v>
      </c>
      <c r="D3654" s="4" t="s">
        <v>26</v>
      </c>
      <c r="E3654" s="5" t="str">
        <f>"9190455"</f>
        <v>9190455</v>
      </c>
      <c r="F3654" s="3" t="s">
        <v>11614</v>
      </c>
      <c r="G3654" s="5">
        <v>2310736757</v>
      </c>
      <c r="H3654" s="4" t="s">
        <v>11615</v>
      </c>
      <c r="I3654" s="4" t="s">
        <v>11616</v>
      </c>
      <c r="J3654" s="4" t="s">
        <v>10391</v>
      </c>
      <c r="K3654" s="4" t="s">
        <v>11617</v>
      </c>
      <c r="L3654" s="5">
        <v>56123</v>
      </c>
    </row>
    <row r="3655" spans="1:12" x14ac:dyDescent="0.25">
      <c r="A3655" s="3" t="s">
        <v>10786</v>
      </c>
      <c r="B3655" s="4" t="s">
        <v>11510</v>
      </c>
      <c r="C3655" s="4" t="s">
        <v>25</v>
      </c>
      <c r="D3655" s="4" t="s">
        <v>26</v>
      </c>
      <c r="E3655" s="5" t="str">
        <f>"9190681"</f>
        <v>9190681</v>
      </c>
      <c r="F3655" s="3" t="s">
        <v>11618</v>
      </c>
      <c r="G3655" s="5">
        <v>2310726070</v>
      </c>
      <c r="H3655" s="4" t="s">
        <v>11619</v>
      </c>
      <c r="I3655" s="4" t="s">
        <v>11616</v>
      </c>
      <c r="J3655" s="4" t="s">
        <v>10391</v>
      </c>
      <c r="K3655" s="4" t="s">
        <v>11620</v>
      </c>
      <c r="L3655" s="5">
        <v>56121</v>
      </c>
    </row>
    <row r="3656" spans="1:12" x14ac:dyDescent="0.25">
      <c r="A3656" s="3" t="s">
        <v>10786</v>
      </c>
      <c r="B3656" s="4" t="s">
        <v>11510</v>
      </c>
      <c r="C3656" s="4" t="s">
        <v>25</v>
      </c>
      <c r="D3656" s="4" t="s">
        <v>26</v>
      </c>
      <c r="E3656" s="5" t="str">
        <f>"9190603"</f>
        <v>9190603</v>
      </c>
      <c r="F3656" s="3" t="s">
        <v>11621</v>
      </c>
      <c r="G3656" s="5">
        <v>2310734145</v>
      </c>
      <c r="H3656" s="4" t="s">
        <v>11622</v>
      </c>
      <c r="I3656" s="4" t="s">
        <v>11616</v>
      </c>
      <c r="J3656" s="4" t="s">
        <v>10391</v>
      </c>
      <c r="K3656" s="4" t="s">
        <v>11623</v>
      </c>
      <c r="L3656" s="5">
        <v>56123</v>
      </c>
    </row>
    <row r="3657" spans="1:12" x14ac:dyDescent="0.25">
      <c r="A3657" s="3" t="s">
        <v>10786</v>
      </c>
      <c r="B3657" s="4" t="s">
        <v>11510</v>
      </c>
      <c r="C3657" s="4" t="s">
        <v>25</v>
      </c>
      <c r="D3657" s="4" t="s">
        <v>26</v>
      </c>
      <c r="E3657" s="5" t="str">
        <f>"9190604"</f>
        <v>9190604</v>
      </c>
      <c r="F3657" s="3" t="s">
        <v>11624</v>
      </c>
      <c r="G3657" s="5">
        <v>2310736017</v>
      </c>
      <c r="H3657" s="4" t="s">
        <v>11625</v>
      </c>
      <c r="I3657" s="4" t="s">
        <v>11616</v>
      </c>
      <c r="J3657" s="4" t="s">
        <v>10391</v>
      </c>
      <c r="K3657" s="4" t="s">
        <v>11626</v>
      </c>
      <c r="L3657" s="5">
        <v>56121</v>
      </c>
    </row>
    <row r="3658" spans="1:12" x14ac:dyDescent="0.25">
      <c r="A3658" s="3" t="s">
        <v>10786</v>
      </c>
      <c r="B3658" s="4" t="s">
        <v>11510</v>
      </c>
      <c r="C3658" s="4" t="s">
        <v>25</v>
      </c>
      <c r="D3658" s="4" t="s">
        <v>26</v>
      </c>
      <c r="E3658" s="5" t="str">
        <f>"9190855"</f>
        <v>9190855</v>
      </c>
      <c r="F3658" s="3" t="s">
        <v>11627</v>
      </c>
      <c r="G3658" s="5">
        <v>2310577105</v>
      </c>
      <c r="H3658" s="4" t="s">
        <v>11628</v>
      </c>
      <c r="I3658" s="4" t="s">
        <v>11616</v>
      </c>
      <c r="J3658" s="4" t="s">
        <v>10391</v>
      </c>
      <c r="K3658" s="4" t="s">
        <v>11629</v>
      </c>
      <c r="L3658" s="5">
        <v>56121</v>
      </c>
    </row>
    <row r="3659" spans="1:12" x14ac:dyDescent="0.25">
      <c r="A3659" s="3" t="s">
        <v>10786</v>
      </c>
      <c r="B3659" s="4" t="s">
        <v>11510</v>
      </c>
      <c r="C3659" s="4" t="s">
        <v>25</v>
      </c>
      <c r="D3659" s="4" t="s">
        <v>26</v>
      </c>
      <c r="E3659" s="5" t="str">
        <f>"9190738"</f>
        <v>9190738</v>
      </c>
      <c r="F3659" s="3" t="s">
        <v>11630</v>
      </c>
      <c r="G3659" s="5">
        <v>2310745977</v>
      </c>
      <c r="H3659" s="4" t="s">
        <v>11631</v>
      </c>
      <c r="I3659" s="4" t="s">
        <v>11616</v>
      </c>
      <c r="J3659" s="4" t="s">
        <v>10391</v>
      </c>
      <c r="K3659" s="4" t="s">
        <v>11632</v>
      </c>
      <c r="L3659" s="5">
        <v>56123</v>
      </c>
    </row>
    <row r="3660" spans="1:12" x14ac:dyDescent="0.25">
      <c r="A3660" s="3" t="s">
        <v>10786</v>
      </c>
      <c r="B3660" s="4" t="s">
        <v>11510</v>
      </c>
      <c r="C3660" s="4" t="s">
        <v>14</v>
      </c>
      <c r="D3660" s="4" t="s">
        <v>15</v>
      </c>
      <c r="E3660" s="5" t="str">
        <f>"9190155"</f>
        <v>9190155</v>
      </c>
      <c r="F3660" s="3" t="s">
        <v>11633</v>
      </c>
      <c r="G3660" s="5">
        <v>2310697780</v>
      </c>
      <c r="H3660" s="4" t="s">
        <v>11634</v>
      </c>
      <c r="I3660" s="4" t="s">
        <v>11635</v>
      </c>
      <c r="J3660" s="4" t="s">
        <v>11636</v>
      </c>
      <c r="K3660" s="4" t="s">
        <v>11637</v>
      </c>
      <c r="L3660" s="5">
        <v>57013</v>
      </c>
    </row>
    <row r="3661" spans="1:12" x14ac:dyDescent="0.25">
      <c r="A3661" s="3" t="s">
        <v>10786</v>
      </c>
      <c r="B3661" s="4" t="s">
        <v>11510</v>
      </c>
      <c r="C3661" s="4" t="s">
        <v>14</v>
      </c>
      <c r="D3661" s="4" t="s">
        <v>15</v>
      </c>
      <c r="E3661" s="5" t="str">
        <f>"9190293"</f>
        <v>9190293</v>
      </c>
      <c r="F3661" s="3" t="s">
        <v>11638</v>
      </c>
      <c r="G3661" s="5">
        <v>2310798183</v>
      </c>
      <c r="H3661" s="4" t="s">
        <v>11639</v>
      </c>
      <c r="I3661" s="4" t="s">
        <v>11640</v>
      </c>
      <c r="J3661" s="4" t="s">
        <v>11641</v>
      </c>
      <c r="K3661" s="4" t="s">
        <v>11642</v>
      </c>
      <c r="L3661" s="5">
        <v>57400</v>
      </c>
    </row>
    <row r="3662" spans="1:12" x14ac:dyDescent="0.25">
      <c r="A3662" s="3" t="s">
        <v>10786</v>
      </c>
      <c r="B3662" s="4" t="s">
        <v>11510</v>
      </c>
      <c r="C3662" s="4" t="s">
        <v>14</v>
      </c>
      <c r="D3662" s="4" t="s">
        <v>15</v>
      </c>
      <c r="E3662" s="5" t="str">
        <f>"9190351"</f>
        <v>9190351</v>
      </c>
      <c r="F3662" s="3" t="s">
        <v>11643</v>
      </c>
      <c r="G3662" s="5">
        <v>2310680250</v>
      </c>
      <c r="H3662" s="4" t="s">
        <v>11644</v>
      </c>
      <c r="I3662" s="4" t="s">
        <v>11564</v>
      </c>
      <c r="J3662" s="4" t="s">
        <v>11645</v>
      </c>
      <c r="K3662" s="4" t="s">
        <v>11646</v>
      </c>
      <c r="L3662" s="5">
        <v>56429</v>
      </c>
    </row>
    <row r="3663" spans="1:12" x14ac:dyDescent="0.25">
      <c r="A3663" s="3" t="s">
        <v>10786</v>
      </c>
      <c r="B3663" s="4" t="s">
        <v>11510</v>
      </c>
      <c r="C3663" s="4" t="s">
        <v>14</v>
      </c>
      <c r="D3663" s="4" t="s">
        <v>15</v>
      </c>
      <c r="E3663" s="5" t="str">
        <f>"9190119"</f>
        <v>9190119</v>
      </c>
      <c r="F3663" s="3" t="s">
        <v>11647</v>
      </c>
      <c r="G3663" s="5">
        <v>2310730702</v>
      </c>
      <c r="H3663" s="4" t="s">
        <v>11648</v>
      </c>
      <c r="I3663" s="4" t="s">
        <v>11616</v>
      </c>
      <c r="J3663" s="4" t="s">
        <v>10361</v>
      </c>
      <c r="K3663" s="4" t="s">
        <v>11617</v>
      </c>
      <c r="L3663" s="5">
        <v>56123</v>
      </c>
    </row>
    <row r="3664" spans="1:12" x14ac:dyDescent="0.25">
      <c r="A3664" s="3" t="s">
        <v>10786</v>
      </c>
      <c r="B3664" s="4" t="s">
        <v>11510</v>
      </c>
      <c r="C3664" s="4" t="s">
        <v>25</v>
      </c>
      <c r="D3664" s="4" t="s">
        <v>26</v>
      </c>
      <c r="E3664" s="5" t="str">
        <f>"9190190"</f>
        <v>9190190</v>
      </c>
      <c r="F3664" s="3" t="s">
        <v>11649</v>
      </c>
      <c r="G3664" s="5">
        <v>2310615460</v>
      </c>
      <c r="H3664" s="4" t="s">
        <v>11650</v>
      </c>
      <c r="I3664" s="4" t="s">
        <v>11651</v>
      </c>
      <c r="J3664" s="4" t="s">
        <v>11652</v>
      </c>
      <c r="K3664" s="4" t="s">
        <v>11653</v>
      </c>
      <c r="L3664" s="5">
        <v>56626</v>
      </c>
    </row>
    <row r="3665" spans="1:12" x14ac:dyDescent="0.25">
      <c r="A3665" s="3" t="s">
        <v>10786</v>
      </c>
      <c r="B3665" s="4" t="s">
        <v>11510</v>
      </c>
      <c r="C3665" s="4" t="s">
        <v>25</v>
      </c>
      <c r="D3665" s="4" t="s">
        <v>26</v>
      </c>
      <c r="E3665" s="5" t="str">
        <f>"9190098"</f>
        <v>9190098</v>
      </c>
      <c r="F3665" s="3" t="s">
        <v>11654</v>
      </c>
      <c r="G3665" s="5">
        <v>2310610236</v>
      </c>
      <c r="H3665" s="4" t="s">
        <v>11655</v>
      </c>
      <c r="I3665" s="4" t="s">
        <v>11564</v>
      </c>
      <c r="J3665" s="4" t="s">
        <v>11656</v>
      </c>
      <c r="K3665" s="4" t="s">
        <v>11657</v>
      </c>
      <c r="L3665" s="5">
        <v>56532</v>
      </c>
    </row>
    <row r="3666" spans="1:12" x14ac:dyDescent="0.25">
      <c r="A3666" s="3" t="s">
        <v>10786</v>
      </c>
      <c r="B3666" s="4" t="s">
        <v>11510</v>
      </c>
      <c r="C3666" s="4" t="s">
        <v>25</v>
      </c>
      <c r="D3666" s="4" t="s">
        <v>26</v>
      </c>
      <c r="E3666" s="5" t="str">
        <f>"9190100"</f>
        <v>9190100</v>
      </c>
      <c r="F3666" s="3" t="s">
        <v>11658</v>
      </c>
      <c r="G3666" s="5">
        <v>2310641300</v>
      </c>
      <c r="H3666" s="4" t="s">
        <v>11659</v>
      </c>
      <c r="I3666" s="4" t="s">
        <v>11564</v>
      </c>
      <c r="J3666" s="4" t="s">
        <v>11656</v>
      </c>
      <c r="K3666" s="4" t="s">
        <v>11660</v>
      </c>
      <c r="L3666" s="5">
        <v>56429</v>
      </c>
    </row>
    <row r="3667" spans="1:12" x14ac:dyDescent="0.25">
      <c r="A3667" s="3" t="s">
        <v>10786</v>
      </c>
      <c r="B3667" s="4" t="s">
        <v>11510</v>
      </c>
      <c r="C3667" s="4" t="s">
        <v>25</v>
      </c>
      <c r="D3667" s="4" t="s">
        <v>26</v>
      </c>
      <c r="E3667" s="5" t="str">
        <f>"9190596"</f>
        <v>9190596</v>
      </c>
      <c r="F3667" s="3" t="s">
        <v>11661</v>
      </c>
      <c r="G3667" s="5">
        <v>2310622670</v>
      </c>
      <c r="H3667" s="4" t="s">
        <v>11662</v>
      </c>
      <c r="I3667" s="4" t="s">
        <v>11564</v>
      </c>
      <c r="J3667" s="4" t="s">
        <v>11656</v>
      </c>
      <c r="K3667" s="4" t="s">
        <v>11663</v>
      </c>
      <c r="L3667" s="5">
        <v>56532</v>
      </c>
    </row>
    <row r="3668" spans="1:12" ht="30" x14ac:dyDescent="0.25">
      <c r="A3668" s="3" t="s">
        <v>10786</v>
      </c>
      <c r="B3668" s="4" t="s">
        <v>11510</v>
      </c>
      <c r="C3668" s="4" t="s">
        <v>14</v>
      </c>
      <c r="D3668" s="4" t="s">
        <v>15</v>
      </c>
      <c r="E3668" s="5" t="str">
        <f>"9190078"</f>
        <v>9190078</v>
      </c>
      <c r="F3668" s="3" t="s">
        <v>11664</v>
      </c>
      <c r="G3668" s="5">
        <v>2310656110</v>
      </c>
      <c r="H3668" s="4" t="s">
        <v>11665</v>
      </c>
      <c r="I3668" s="4" t="s">
        <v>11564</v>
      </c>
      <c r="J3668" s="4" t="s">
        <v>11666</v>
      </c>
      <c r="K3668" s="4" t="s">
        <v>11569</v>
      </c>
      <c r="L3668" s="5">
        <v>56430</v>
      </c>
    </row>
    <row r="3669" spans="1:12" x14ac:dyDescent="0.25">
      <c r="A3669" s="3" t="s">
        <v>10786</v>
      </c>
      <c r="B3669" s="4" t="s">
        <v>11510</v>
      </c>
      <c r="C3669" s="4" t="s">
        <v>14</v>
      </c>
      <c r="D3669" s="4" t="s">
        <v>15</v>
      </c>
      <c r="E3669" s="5" t="str">
        <f>"9190642"</f>
        <v>9190642</v>
      </c>
      <c r="F3669" s="3" t="s">
        <v>11667</v>
      </c>
      <c r="G3669" s="5">
        <v>2310619689</v>
      </c>
      <c r="H3669" s="4" t="s">
        <v>11668</v>
      </c>
      <c r="I3669" s="4" t="s">
        <v>11651</v>
      </c>
      <c r="J3669" s="4" t="s">
        <v>11652</v>
      </c>
      <c r="K3669" s="4" t="s">
        <v>11669</v>
      </c>
      <c r="L3669" s="5">
        <v>56625</v>
      </c>
    </row>
    <row r="3670" spans="1:12" x14ac:dyDescent="0.25">
      <c r="A3670" s="3" t="s">
        <v>10786</v>
      </c>
      <c r="B3670" s="4" t="s">
        <v>11510</v>
      </c>
      <c r="C3670" s="4" t="s">
        <v>14</v>
      </c>
      <c r="D3670" s="4" t="s">
        <v>15</v>
      </c>
      <c r="E3670" s="5" t="str">
        <f>"9190733"</f>
        <v>9190733</v>
      </c>
      <c r="F3670" s="3" t="s">
        <v>11670</v>
      </c>
      <c r="G3670" s="5">
        <v>2310723604</v>
      </c>
      <c r="H3670" s="4" t="s">
        <v>11671</v>
      </c>
      <c r="I3670" s="4" t="s">
        <v>11616</v>
      </c>
      <c r="J3670" s="4" t="s">
        <v>11672</v>
      </c>
      <c r="K3670" s="4" t="s">
        <v>11673</v>
      </c>
      <c r="L3670" s="5">
        <v>56122</v>
      </c>
    </row>
    <row r="3671" spans="1:12" x14ac:dyDescent="0.25">
      <c r="A3671" s="3" t="s">
        <v>10786</v>
      </c>
      <c r="B3671" s="4" t="s">
        <v>11510</v>
      </c>
      <c r="C3671" s="4" t="s">
        <v>25</v>
      </c>
      <c r="D3671" s="4" t="s">
        <v>26</v>
      </c>
      <c r="E3671" s="5" t="str">
        <f>"9190099"</f>
        <v>9190099</v>
      </c>
      <c r="F3671" s="3" t="s">
        <v>11674</v>
      </c>
      <c r="G3671" s="5">
        <v>2310626249</v>
      </c>
      <c r="H3671" s="4" t="s">
        <v>11675</v>
      </c>
      <c r="I3671" s="4" t="s">
        <v>11564</v>
      </c>
      <c r="J3671" s="4" t="s">
        <v>11656</v>
      </c>
      <c r="K3671" s="4" t="s">
        <v>11676</v>
      </c>
      <c r="L3671" s="5">
        <v>56533</v>
      </c>
    </row>
    <row r="3672" spans="1:12" x14ac:dyDescent="0.25">
      <c r="A3672" s="3" t="s">
        <v>10786</v>
      </c>
      <c r="B3672" s="4" t="s">
        <v>11510</v>
      </c>
      <c r="C3672" s="4" t="s">
        <v>14</v>
      </c>
      <c r="D3672" s="4" t="s">
        <v>15</v>
      </c>
      <c r="E3672" s="5" t="str">
        <f>"9190557"</f>
        <v>9190557</v>
      </c>
      <c r="F3672" s="3" t="s">
        <v>11677</v>
      </c>
      <c r="G3672" s="5">
        <v>2310761071</v>
      </c>
      <c r="H3672" s="4" t="s">
        <v>11678</v>
      </c>
      <c r="I3672" s="4" t="s">
        <v>11513</v>
      </c>
      <c r="J3672" s="4" t="s">
        <v>11557</v>
      </c>
      <c r="K3672" s="4" t="s">
        <v>11679</v>
      </c>
      <c r="L3672" s="5">
        <v>56224</v>
      </c>
    </row>
    <row r="3673" spans="1:12" x14ac:dyDescent="0.25">
      <c r="A3673" s="3" t="s">
        <v>10786</v>
      </c>
      <c r="B3673" s="4" t="s">
        <v>11510</v>
      </c>
      <c r="C3673" s="4" t="s">
        <v>14</v>
      </c>
      <c r="D3673" s="4" t="s">
        <v>15</v>
      </c>
      <c r="E3673" s="5" t="str">
        <f>"9190393"</f>
        <v>9190393</v>
      </c>
      <c r="F3673" s="3" t="s">
        <v>11680</v>
      </c>
      <c r="G3673" s="5">
        <v>2393022030</v>
      </c>
      <c r="H3673" s="4" t="s">
        <v>11681</v>
      </c>
      <c r="I3673" s="4" t="s">
        <v>11682</v>
      </c>
      <c r="J3673" s="4" t="s">
        <v>11683</v>
      </c>
      <c r="K3673" s="4" t="s">
        <v>11684</v>
      </c>
      <c r="L3673" s="5">
        <v>57020</v>
      </c>
    </row>
    <row r="3674" spans="1:12" x14ac:dyDescent="0.25">
      <c r="A3674" s="3" t="s">
        <v>10786</v>
      </c>
      <c r="B3674" s="4" t="s">
        <v>11510</v>
      </c>
      <c r="C3674" s="4" t="s">
        <v>14</v>
      </c>
      <c r="D3674" s="4" t="s">
        <v>15</v>
      </c>
      <c r="E3674" s="5" t="str">
        <f>"9190398"</f>
        <v>9190398</v>
      </c>
      <c r="F3674" s="3" t="s">
        <v>11685</v>
      </c>
      <c r="G3674" s="5">
        <v>2393041275</v>
      </c>
      <c r="H3674" s="4" t="s">
        <v>11686</v>
      </c>
      <c r="I3674" s="4" t="s">
        <v>11687</v>
      </c>
      <c r="J3674" s="4" t="s">
        <v>11688</v>
      </c>
      <c r="K3674" s="4" t="s">
        <v>11688</v>
      </c>
      <c r="L3674" s="5">
        <v>57015</v>
      </c>
    </row>
    <row r="3675" spans="1:12" x14ac:dyDescent="0.25">
      <c r="A3675" s="3" t="s">
        <v>10786</v>
      </c>
      <c r="B3675" s="4" t="s">
        <v>11510</v>
      </c>
      <c r="C3675" s="4" t="s">
        <v>14</v>
      </c>
      <c r="D3675" s="4" t="s">
        <v>15</v>
      </c>
      <c r="E3675" s="5" t="str">
        <f>"9190378"</f>
        <v>9190378</v>
      </c>
      <c r="F3675" s="3" t="s">
        <v>11689</v>
      </c>
      <c r="G3675" s="5">
        <v>2310696185</v>
      </c>
      <c r="H3675" s="4" t="s">
        <v>11690</v>
      </c>
      <c r="I3675" s="4" t="s">
        <v>11635</v>
      </c>
      <c r="J3675" s="4" t="s">
        <v>11691</v>
      </c>
      <c r="K3675" s="4" t="s">
        <v>11692</v>
      </c>
      <c r="L3675" s="5">
        <v>57013</v>
      </c>
    </row>
    <row r="3676" spans="1:12" x14ac:dyDescent="0.25">
      <c r="A3676" s="3" t="s">
        <v>10786</v>
      </c>
      <c r="B3676" s="4" t="s">
        <v>11510</v>
      </c>
      <c r="C3676" s="4" t="s">
        <v>14</v>
      </c>
      <c r="D3676" s="4" t="s">
        <v>15</v>
      </c>
      <c r="E3676" s="5" t="str">
        <f>"9190330"</f>
        <v>9190330</v>
      </c>
      <c r="F3676" s="3" t="s">
        <v>11693</v>
      </c>
      <c r="G3676" s="5">
        <v>2311232388</v>
      </c>
      <c r="H3676" s="4" t="s">
        <v>11694</v>
      </c>
      <c r="I3676" s="4" t="s">
        <v>11635</v>
      </c>
      <c r="J3676" s="4" t="s">
        <v>1408</v>
      </c>
      <c r="K3676" s="4" t="s">
        <v>1933</v>
      </c>
      <c r="L3676" s="5">
        <v>54500</v>
      </c>
    </row>
    <row r="3677" spans="1:12" ht="30" x14ac:dyDescent="0.25">
      <c r="A3677" s="3" t="s">
        <v>10786</v>
      </c>
      <c r="B3677" s="4" t="s">
        <v>11510</v>
      </c>
      <c r="C3677" s="4" t="s">
        <v>14</v>
      </c>
      <c r="D3677" s="4" t="s">
        <v>15</v>
      </c>
      <c r="E3677" s="5" t="str">
        <f>"9190868"</f>
        <v>9190868</v>
      </c>
      <c r="F3677" s="3" t="s">
        <v>11695</v>
      </c>
      <c r="G3677" s="5">
        <v>2310696267</v>
      </c>
      <c r="H3677" s="4" t="s">
        <v>11696</v>
      </c>
      <c r="I3677" s="4" t="s">
        <v>11635</v>
      </c>
      <c r="J3677" s="4" t="s">
        <v>11636</v>
      </c>
      <c r="K3677" s="4" t="s">
        <v>8644</v>
      </c>
      <c r="L3677" s="5">
        <v>57013</v>
      </c>
    </row>
    <row r="3678" spans="1:12" x14ac:dyDescent="0.25">
      <c r="A3678" s="3" t="s">
        <v>10786</v>
      </c>
      <c r="B3678" s="4" t="s">
        <v>11510</v>
      </c>
      <c r="C3678" s="4" t="s">
        <v>14</v>
      </c>
      <c r="D3678" s="4" t="s">
        <v>15</v>
      </c>
      <c r="E3678" s="5" t="str">
        <f>"9190332"</f>
        <v>9190332</v>
      </c>
      <c r="F3678" s="3" t="s">
        <v>11697</v>
      </c>
      <c r="G3678" s="5">
        <v>2310675633</v>
      </c>
      <c r="H3678" s="4" t="s">
        <v>11698</v>
      </c>
      <c r="I3678" s="4" t="s">
        <v>11651</v>
      </c>
      <c r="J3678" s="4" t="s">
        <v>11699</v>
      </c>
      <c r="K3678" s="4" t="s">
        <v>11700</v>
      </c>
      <c r="L3678" s="5">
        <v>57010</v>
      </c>
    </row>
    <row r="3679" spans="1:12" x14ac:dyDescent="0.25">
      <c r="A3679" s="3" t="s">
        <v>10786</v>
      </c>
      <c r="B3679" s="4" t="s">
        <v>11510</v>
      </c>
      <c r="C3679" s="4" t="s">
        <v>14</v>
      </c>
      <c r="D3679" s="4" t="s">
        <v>15</v>
      </c>
      <c r="E3679" s="5" t="str">
        <f>"9190805"</f>
        <v>9190805</v>
      </c>
      <c r="F3679" s="3" t="s">
        <v>11701</v>
      </c>
      <c r="G3679" s="5">
        <v>2310781323</v>
      </c>
      <c r="H3679" s="4" t="s">
        <v>11702</v>
      </c>
      <c r="I3679" s="4" t="s">
        <v>11640</v>
      </c>
      <c r="J3679" s="4" t="s">
        <v>11703</v>
      </c>
      <c r="K3679" s="4" t="s">
        <v>2714</v>
      </c>
      <c r="L3679" s="5">
        <v>57008</v>
      </c>
    </row>
    <row r="3680" spans="1:12" x14ac:dyDescent="0.25">
      <c r="A3680" s="3" t="s">
        <v>10786</v>
      </c>
      <c r="B3680" s="4" t="s">
        <v>11510</v>
      </c>
      <c r="C3680" s="4" t="s">
        <v>14</v>
      </c>
      <c r="D3680" s="4" t="s">
        <v>15</v>
      </c>
      <c r="E3680" s="5" t="str">
        <f>"9190198"</f>
        <v>9190198</v>
      </c>
      <c r="F3680" s="3" t="s">
        <v>11704</v>
      </c>
      <c r="G3680" s="5">
        <v>2393022334</v>
      </c>
      <c r="H3680" s="4" t="s">
        <v>11705</v>
      </c>
      <c r="I3680" s="4" t="s">
        <v>11682</v>
      </c>
      <c r="J3680" s="4" t="s">
        <v>11706</v>
      </c>
      <c r="K3680" s="4" t="s">
        <v>11706</v>
      </c>
      <c r="L3680" s="5">
        <v>57012</v>
      </c>
    </row>
    <row r="3681" spans="1:12" x14ac:dyDescent="0.25">
      <c r="A3681" s="3" t="s">
        <v>10786</v>
      </c>
      <c r="B3681" s="4" t="s">
        <v>11510</v>
      </c>
      <c r="C3681" s="4" t="s">
        <v>14</v>
      </c>
      <c r="D3681" s="4" t="s">
        <v>15</v>
      </c>
      <c r="E3681" s="5" t="str">
        <f>"9190389"</f>
        <v>9190389</v>
      </c>
      <c r="F3681" s="3" t="s">
        <v>11707</v>
      </c>
      <c r="G3681" s="5">
        <v>2394052138</v>
      </c>
      <c r="H3681" s="4" t="s">
        <v>11708</v>
      </c>
      <c r="I3681" s="4" t="s">
        <v>11682</v>
      </c>
      <c r="J3681" s="4" t="s">
        <v>11709</v>
      </c>
      <c r="K3681" s="4" t="s">
        <v>11710</v>
      </c>
      <c r="L3681" s="5">
        <v>57200</v>
      </c>
    </row>
    <row r="3682" spans="1:12" x14ac:dyDescent="0.25">
      <c r="A3682" s="3" t="s">
        <v>10786</v>
      </c>
      <c r="B3682" s="4" t="s">
        <v>11510</v>
      </c>
      <c r="C3682" s="4" t="s">
        <v>14</v>
      </c>
      <c r="D3682" s="4" t="s">
        <v>15</v>
      </c>
      <c r="E3682" s="5" t="str">
        <f>"9190527"</f>
        <v>9190527</v>
      </c>
      <c r="F3682" s="3" t="s">
        <v>11711</v>
      </c>
      <c r="G3682" s="5">
        <v>2310655779</v>
      </c>
      <c r="H3682" s="4" t="s">
        <v>11712</v>
      </c>
      <c r="I3682" s="4" t="s">
        <v>11564</v>
      </c>
      <c r="J3682" s="4" t="s">
        <v>11666</v>
      </c>
      <c r="K3682" s="4" t="s">
        <v>11713</v>
      </c>
      <c r="L3682" s="5">
        <v>56430</v>
      </c>
    </row>
    <row r="3683" spans="1:12" x14ac:dyDescent="0.25">
      <c r="A3683" s="3" t="s">
        <v>10786</v>
      </c>
      <c r="B3683" s="4" t="s">
        <v>11510</v>
      </c>
      <c r="C3683" s="4" t="s">
        <v>14</v>
      </c>
      <c r="D3683" s="4" t="s">
        <v>15</v>
      </c>
      <c r="E3683" s="5" t="str">
        <f>"9190070"</f>
        <v>9190070</v>
      </c>
      <c r="F3683" s="3" t="s">
        <v>11714</v>
      </c>
      <c r="G3683" s="5">
        <v>2310611258</v>
      </c>
      <c r="H3683" s="4" t="s">
        <v>11715</v>
      </c>
      <c r="I3683" s="4" t="s">
        <v>11564</v>
      </c>
      <c r="J3683" s="4" t="s">
        <v>11716</v>
      </c>
      <c r="K3683" s="4" t="s">
        <v>11717</v>
      </c>
      <c r="L3683" s="5">
        <v>56532</v>
      </c>
    </row>
    <row r="3684" spans="1:12" x14ac:dyDescent="0.25">
      <c r="A3684" s="3" t="s">
        <v>10786</v>
      </c>
      <c r="B3684" s="4" t="s">
        <v>11510</v>
      </c>
      <c r="C3684" s="4" t="s">
        <v>14</v>
      </c>
      <c r="D3684" s="4" t="s">
        <v>15</v>
      </c>
      <c r="E3684" s="5" t="str">
        <f>"9190930"</f>
        <v>9190930</v>
      </c>
      <c r="F3684" s="3" t="s">
        <v>11718</v>
      </c>
      <c r="G3684" s="5">
        <v>2391042902</v>
      </c>
      <c r="H3684" s="4" t="s">
        <v>11719</v>
      </c>
      <c r="I3684" s="4" t="s">
        <v>11640</v>
      </c>
      <c r="J3684" s="4" t="s">
        <v>11720</v>
      </c>
      <c r="K3684" s="4" t="s">
        <v>11721</v>
      </c>
      <c r="L3684" s="5">
        <v>57300</v>
      </c>
    </row>
    <row r="3685" spans="1:12" x14ac:dyDescent="0.25">
      <c r="A3685" s="3" t="s">
        <v>10786</v>
      </c>
      <c r="B3685" s="4" t="s">
        <v>11510</v>
      </c>
      <c r="C3685" s="4" t="s">
        <v>25</v>
      </c>
      <c r="D3685" s="4" t="s">
        <v>26</v>
      </c>
      <c r="E3685" s="5" t="str">
        <f>"9190520"</f>
        <v>9190520</v>
      </c>
      <c r="F3685" s="3" t="s">
        <v>11722</v>
      </c>
      <c r="G3685" s="5">
        <v>2394022071</v>
      </c>
      <c r="H3685" s="4" t="s">
        <v>11723</v>
      </c>
      <c r="I3685" s="4" t="s">
        <v>11682</v>
      </c>
      <c r="J3685" s="4" t="s">
        <v>11724</v>
      </c>
      <c r="K3685" s="4" t="s">
        <v>11725</v>
      </c>
      <c r="L3685" s="5">
        <v>57200</v>
      </c>
    </row>
    <row r="3686" spans="1:12" x14ac:dyDescent="0.25">
      <c r="A3686" s="3" t="s">
        <v>10786</v>
      </c>
      <c r="B3686" s="4" t="s">
        <v>11510</v>
      </c>
      <c r="C3686" s="4" t="s">
        <v>14</v>
      </c>
      <c r="D3686" s="4" t="s">
        <v>15</v>
      </c>
      <c r="E3686" s="5" t="str">
        <f>"9190063"</f>
        <v>9190063</v>
      </c>
      <c r="F3686" s="3" t="s">
        <v>11726</v>
      </c>
      <c r="G3686" s="5">
        <v>2310612856</v>
      </c>
      <c r="H3686" s="4" t="s">
        <v>11727</v>
      </c>
      <c r="I3686" s="4" t="s">
        <v>11651</v>
      </c>
      <c r="J3686" s="4" t="s">
        <v>746</v>
      </c>
      <c r="K3686" s="4" t="s">
        <v>11728</v>
      </c>
      <c r="L3686" s="5">
        <v>56728</v>
      </c>
    </row>
    <row r="3687" spans="1:12" x14ac:dyDescent="0.25">
      <c r="A3687" s="3" t="s">
        <v>10786</v>
      </c>
      <c r="B3687" s="4" t="s">
        <v>11510</v>
      </c>
      <c r="C3687" s="4" t="s">
        <v>14</v>
      </c>
      <c r="D3687" s="4" t="s">
        <v>15</v>
      </c>
      <c r="E3687" s="5" t="str">
        <f>"9190834"</f>
        <v>9190834</v>
      </c>
      <c r="F3687" s="3" t="s">
        <v>11729</v>
      </c>
      <c r="G3687" s="5">
        <v>2310651634</v>
      </c>
      <c r="H3687" s="4" t="s">
        <v>11730</v>
      </c>
      <c r="I3687" s="4" t="s">
        <v>11564</v>
      </c>
      <c r="J3687" s="4" t="s">
        <v>11731</v>
      </c>
      <c r="K3687" s="4" t="s">
        <v>11732</v>
      </c>
      <c r="L3687" s="5">
        <v>56535</v>
      </c>
    </row>
    <row r="3688" spans="1:12" x14ac:dyDescent="0.25">
      <c r="A3688" s="3" t="s">
        <v>10786</v>
      </c>
      <c r="B3688" s="4" t="s">
        <v>11510</v>
      </c>
      <c r="C3688" s="4" t="s">
        <v>14</v>
      </c>
      <c r="D3688" s="4" t="s">
        <v>15</v>
      </c>
      <c r="E3688" s="5" t="str">
        <f>"9190509"</f>
        <v>9190509</v>
      </c>
      <c r="F3688" s="3" t="s">
        <v>11733</v>
      </c>
      <c r="G3688" s="5">
        <v>2310764384</v>
      </c>
      <c r="H3688" s="4" t="s">
        <v>11734</v>
      </c>
      <c r="I3688" s="4" t="s">
        <v>11513</v>
      </c>
      <c r="J3688" s="4" t="s">
        <v>11735</v>
      </c>
      <c r="K3688" s="4" t="s">
        <v>11736</v>
      </c>
      <c r="L3688" s="5">
        <v>56334</v>
      </c>
    </row>
    <row r="3689" spans="1:12" x14ac:dyDescent="0.25">
      <c r="A3689" s="3" t="s">
        <v>10786</v>
      </c>
      <c r="B3689" s="4" t="s">
        <v>11510</v>
      </c>
      <c r="C3689" s="4" t="s">
        <v>25</v>
      </c>
      <c r="D3689" s="4" t="s">
        <v>26</v>
      </c>
      <c r="E3689" s="5" t="str">
        <f>"9190101"</f>
        <v>9190101</v>
      </c>
      <c r="F3689" s="3" t="s">
        <v>11737</v>
      </c>
      <c r="G3689" s="5">
        <v>2310600357</v>
      </c>
      <c r="H3689" s="4" t="s">
        <v>11738</v>
      </c>
      <c r="I3689" s="4" t="s">
        <v>11564</v>
      </c>
      <c r="J3689" s="4" t="s">
        <v>11656</v>
      </c>
      <c r="K3689" s="4" t="s">
        <v>11732</v>
      </c>
      <c r="L3689" s="5">
        <v>56535</v>
      </c>
    </row>
    <row r="3690" spans="1:12" x14ac:dyDescent="0.25">
      <c r="A3690" s="3" t="s">
        <v>10786</v>
      </c>
      <c r="B3690" s="4" t="s">
        <v>11510</v>
      </c>
      <c r="C3690" s="4" t="s">
        <v>14</v>
      </c>
      <c r="D3690" s="4" t="s">
        <v>15</v>
      </c>
      <c r="E3690" s="5" t="str">
        <f>"9190081"</f>
        <v>9190081</v>
      </c>
      <c r="F3690" s="3" t="s">
        <v>11739</v>
      </c>
      <c r="G3690" s="5">
        <v>2310667352</v>
      </c>
      <c r="H3690" s="4" t="s">
        <v>11740</v>
      </c>
      <c r="I3690" s="4" t="s">
        <v>11564</v>
      </c>
      <c r="J3690" s="4" t="s">
        <v>11666</v>
      </c>
      <c r="K3690" s="4" t="s">
        <v>11604</v>
      </c>
      <c r="L3690" s="5">
        <v>56436</v>
      </c>
    </row>
    <row r="3691" spans="1:12" x14ac:dyDescent="0.25">
      <c r="A3691" s="3" t="s">
        <v>10786</v>
      </c>
      <c r="B3691" s="4" t="s">
        <v>11510</v>
      </c>
      <c r="C3691" s="4" t="s">
        <v>14</v>
      </c>
      <c r="D3691" s="4" t="s">
        <v>15</v>
      </c>
      <c r="E3691" s="5" t="str">
        <f>"9190080"</f>
        <v>9190080</v>
      </c>
      <c r="F3691" s="3" t="s">
        <v>11741</v>
      </c>
      <c r="G3691" s="5">
        <v>2310656475</v>
      </c>
      <c r="H3691" s="4" t="s">
        <v>11742</v>
      </c>
      <c r="I3691" s="4" t="s">
        <v>11513</v>
      </c>
      <c r="J3691" s="4" t="s">
        <v>11557</v>
      </c>
      <c r="K3691" s="4" t="s">
        <v>11743</v>
      </c>
      <c r="L3691" s="5">
        <v>56225</v>
      </c>
    </row>
    <row r="3692" spans="1:12" x14ac:dyDescent="0.25">
      <c r="A3692" s="3" t="s">
        <v>10786</v>
      </c>
      <c r="B3692" s="4" t="s">
        <v>11510</v>
      </c>
      <c r="C3692" s="4" t="s">
        <v>25</v>
      </c>
      <c r="D3692" s="4" t="s">
        <v>26</v>
      </c>
      <c r="E3692" s="5" t="str">
        <f>"9190274"</f>
        <v>9190274</v>
      </c>
      <c r="F3692" s="3" t="s">
        <v>11744</v>
      </c>
      <c r="G3692" s="5">
        <v>2391031510</v>
      </c>
      <c r="H3692" s="4" t="s">
        <v>11745</v>
      </c>
      <c r="I3692" s="4" t="s">
        <v>11640</v>
      </c>
      <c r="J3692" s="4" t="s">
        <v>11746</v>
      </c>
      <c r="K3692" s="4" t="s">
        <v>11747</v>
      </c>
      <c r="L3692" s="5">
        <v>57007</v>
      </c>
    </row>
    <row r="3693" spans="1:12" x14ac:dyDescent="0.25">
      <c r="A3693" s="3" t="s">
        <v>10786</v>
      </c>
      <c r="B3693" s="4" t="s">
        <v>11510</v>
      </c>
      <c r="C3693" s="4" t="s">
        <v>25</v>
      </c>
      <c r="D3693" s="4" t="s">
        <v>26</v>
      </c>
      <c r="E3693" s="5" t="str">
        <f>"9190191"</f>
        <v>9190191</v>
      </c>
      <c r="F3693" s="3" t="s">
        <v>11748</v>
      </c>
      <c r="G3693" s="5">
        <v>2310632170</v>
      </c>
      <c r="H3693" s="4" t="s">
        <v>11749</v>
      </c>
      <c r="I3693" s="4" t="s">
        <v>11651</v>
      </c>
      <c r="J3693" s="4" t="s">
        <v>11652</v>
      </c>
      <c r="K3693" s="4" t="s">
        <v>11669</v>
      </c>
      <c r="L3693" s="5">
        <v>56625</v>
      </c>
    </row>
    <row r="3694" spans="1:12" x14ac:dyDescent="0.25">
      <c r="A3694" s="3" t="s">
        <v>10786</v>
      </c>
      <c r="B3694" s="4" t="s">
        <v>11510</v>
      </c>
      <c r="C3694" s="4" t="s">
        <v>25</v>
      </c>
      <c r="D3694" s="4" t="s">
        <v>26</v>
      </c>
      <c r="E3694" s="5" t="str">
        <f>"9190110"</f>
        <v>9190110</v>
      </c>
      <c r="F3694" s="3" t="s">
        <v>11750</v>
      </c>
      <c r="G3694" s="5">
        <v>2310659047</v>
      </c>
      <c r="H3694" s="4" t="s">
        <v>11751</v>
      </c>
      <c r="I3694" s="4" t="s">
        <v>11564</v>
      </c>
      <c r="J3694" s="4" t="s">
        <v>11565</v>
      </c>
      <c r="K3694" s="4" t="s">
        <v>11752</v>
      </c>
      <c r="L3694" s="5">
        <v>56430</v>
      </c>
    </row>
    <row r="3695" spans="1:12" x14ac:dyDescent="0.25">
      <c r="A3695" s="3" t="s">
        <v>10786</v>
      </c>
      <c r="B3695" s="4" t="s">
        <v>11510</v>
      </c>
      <c r="C3695" s="4" t="s">
        <v>14</v>
      </c>
      <c r="D3695" s="4" t="s">
        <v>15</v>
      </c>
      <c r="E3695" s="5" t="str">
        <f>"9190653"</f>
        <v>9190653</v>
      </c>
      <c r="F3695" s="3" t="s">
        <v>11753</v>
      </c>
      <c r="G3695" s="5">
        <v>2310656175</v>
      </c>
      <c r="H3695" s="4" t="s">
        <v>11754</v>
      </c>
      <c r="I3695" s="4" t="s">
        <v>11564</v>
      </c>
      <c r="J3695" s="4" t="s">
        <v>11666</v>
      </c>
      <c r="K3695" s="4" t="s">
        <v>11755</v>
      </c>
      <c r="L3695" s="5">
        <v>56430</v>
      </c>
    </row>
    <row r="3696" spans="1:12" x14ac:dyDescent="0.25">
      <c r="A3696" s="3" t="s">
        <v>10786</v>
      </c>
      <c r="B3696" s="4" t="s">
        <v>11510</v>
      </c>
      <c r="C3696" s="4" t="s">
        <v>14</v>
      </c>
      <c r="D3696" s="4" t="s">
        <v>15</v>
      </c>
      <c r="E3696" s="5" t="str">
        <f>"9190649"</f>
        <v>9190649</v>
      </c>
      <c r="F3696" s="3" t="s">
        <v>11756</v>
      </c>
      <c r="G3696" s="5">
        <v>2310734180</v>
      </c>
      <c r="H3696" s="4" t="s">
        <v>11757</v>
      </c>
      <c r="I3696" s="4" t="s">
        <v>11616</v>
      </c>
      <c r="J3696" s="4" t="s">
        <v>11758</v>
      </c>
      <c r="K3696" s="4" t="s">
        <v>11759</v>
      </c>
      <c r="L3696" s="5">
        <v>56123</v>
      </c>
    </row>
    <row r="3697" spans="1:12" x14ac:dyDescent="0.25">
      <c r="A3697" s="3" t="s">
        <v>10786</v>
      </c>
      <c r="B3697" s="4" t="s">
        <v>11510</v>
      </c>
      <c r="C3697" s="4" t="s">
        <v>25</v>
      </c>
      <c r="D3697" s="4" t="s">
        <v>26</v>
      </c>
      <c r="E3697" s="5" t="str">
        <f>"9190608"</f>
        <v>9190608</v>
      </c>
      <c r="F3697" s="3" t="s">
        <v>11760</v>
      </c>
      <c r="G3697" s="5">
        <v>2310794313</v>
      </c>
      <c r="H3697" s="4" t="s">
        <v>11761</v>
      </c>
      <c r="I3697" s="4" t="s">
        <v>11640</v>
      </c>
      <c r="J3697" s="4" t="s">
        <v>11762</v>
      </c>
      <c r="K3697" s="4" t="s">
        <v>11763</v>
      </c>
      <c r="L3697" s="5">
        <v>57300</v>
      </c>
    </row>
    <row r="3698" spans="1:12" x14ac:dyDescent="0.25">
      <c r="A3698" s="3" t="s">
        <v>10786</v>
      </c>
      <c r="B3698" s="4" t="s">
        <v>11510</v>
      </c>
      <c r="C3698" s="4" t="s">
        <v>25</v>
      </c>
      <c r="D3698" s="4" t="s">
        <v>26</v>
      </c>
      <c r="E3698" s="5" t="str">
        <f>"9190270"</f>
        <v>9190270</v>
      </c>
      <c r="F3698" s="3" t="s">
        <v>11764</v>
      </c>
      <c r="G3698" s="5">
        <v>2391032062</v>
      </c>
      <c r="H3698" s="4" t="s">
        <v>11765</v>
      </c>
      <c r="I3698" s="4" t="s">
        <v>11575</v>
      </c>
      <c r="J3698" s="4" t="s">
        <v>11766</v>
      </c>
      <c r="K3698" s="4" t="s">
        <v>11767</v>
      </c>
      <c r="L3698" s="5">
        <v>57007</v>
      </c>
    </row>
    <row r="3699" spans="1:12" x14ac:dyDescent="0.25">
      <c r="A3699" s="3" t="s">
        <v>10786</v>
      </c>
      <c r="B3699" s="4" t="s">
        <v>11510</v>
      </c>
      <c r="C3699" s="4" t="s">
        <v>25</v>
      </c>
      <c r="D3699" s="4" t="s">
        <v>26</v>
      </c>
      <c r="E3699" s="5" t="str">
        <f>"9190811"</f>
        <v>9190811</v>
      </c>
      <c r="F3699" s="3" t="s">
        <v>11768</v>
      </c>
      <c r="G3699" s="5">
        <v>2310637693</v>
      </c>
      <c r="H3699" s="4" t="s">
        <v>11769</v>
      </c>
      <c r="I3699" s="4" t="s">
        <v>11651</v>
      </c>
      <c r="J3699" s="4" t="s">
        <v>11652</v>
      </c>
      <c r="K3699" s="4" t="s">
        <v>11770</v>
      </c>
      <c r="L3699" s="5">
        <v>56626</v>
      </c>
    </row>
    <row r="3700" spans="1:12" x14ac:dyDescent="0.25">
      <c r="A3700" s="3" t="s">
        <v>10786</v>
      </c>
      <c r="B3700" s="4" t="s">
        <v>11510</v>
      </c>
      <c r="C3700" s="4" t="s">
        <v>25</v>
      </c>
      <c r="D3700" s="4" t="s">
        <v>26</v>
      </c>
      <c r="E3700" s="5" t="str">
        <f>"9190588"</f>
        <v>9190588</v>
      </c>
      <c r="F3700" s="3" t="s">
        <v>11771</v>
      </c>
      <c r="G3700" s="5">
        <v>2310248891</v>
      </c>
      <c r="H3700" s="4" t="s">
        <v>11772</v>
      </c>
      <c r="I3700" s="4" t="s">
        <v>11651</v>
      </c>
      <c r="J3700" s="4" t="s">
        <v>11652</v>
      </c>
      <c r="K3700" s="4" t="s">
        <v>11773</v>
      </c>
      <c r="L3700" s="5">
        <v>56626</v>
      </c>
    </row>
    <row r="3701" spans="1:12" x14ac:dyDescent="0.25">
      <c r="A3701" s="3" t="s">
        <v>10786</v>
      </c>
      <c r="B3701" s="4" t="s">
        <v>11510</v>
      </c>
      <c r="C3701" s="4" t="s">
        <v>25</v>
      </c>
      <c r="D3701" s="4" t="s">
        <v>26</v>
      </c>
      <c r="E3701" s="5" t="str">
        <f>"9190898"</f>
        <v>9190898</v>
      </c>
      <c r="F3701" s="3" t="s">
        <v>11774</v>
      </c>
      <c r="G3701" s="5">
        <v>2310651618</v>
      </c>
      <c r="H3701" s="4" t="s">
        <v>11775</v>
      </c>
      <c r="I3701" s="4" t="s">
        <v>11564</v>
      </c>
      <c r="J3701" s="4" t="s">
        <v>11656</v>
      </c>
      <c r="K3701" s="4" t="s">
        <v>11776</v>
      </c>
      <c r="L3701" s="5">
        <v>56533</v>
      </c>
    </row>
    <row r="3702" spans="1:12" x14ac:dyDescent="0.25">
      <c r="A3702" s="3" t="s">
        <v>10786</v>
      </c>
      <c r="B3702" s="4" t="s">
        <v>11510</v>
      </c>
      <c r="C3702" s="4" t="s">
        <v>25</v>
      </c>
      <c r="D3702" s="4" t="s">
        <v>26</v>
      </c>
      <c r="E3702" s="5" t="str">
        <f>"9190677"</f>
        <v>9190677</v>
      </c>
      <c r="F3702" s="3" t="s">
        <v>11777</v>
      </c>
      <c r="G3702" s="5">
        <v>2310580008</v>
      </c>
      <c r="H3702" s="4" t="s">
        <v>11778</v>
      </c>
      <c r="I3702" s="4" t="s">
        <v>11651</v>
      </c>
      <c r="J3702" s="4" t="s">
        <v>11652</v>
      </c>
      <c r="K3702" s="4" t="s">
        <v>11779</v>
      </c>
      <c r="L3702" s="5">
        <v>56625</v>
      </c>
    </row>
    <row r="3703" spans="1:12" x14ac:dyDescent="0.25">
      <c r="A3703" s="3" t="s">
        <v>10786</v>
      </c>
      <c r="B3703" s="4" t="s">
        <v>11510</v>
      </c>
      <c r="C3703" s="4" t="s">
        <v>14</v>
      </c>
      <c r="D3703" s="4" t="s">
        <v>15</v>
      </c>
      <c r="E3703" s="5" t="str">
        <f>"9190864"</f>
        <v>9190864</v>
      </c>
      <c r="F3703" s="3" t="s">
        <v>11780</v>
      </c>
      <c r="G3703" s="5">
        <v>2310653530</v>
      </c>
      <c r="H3703" s="4" t="s">
        <v>11781</v>
      </c>
      <c r="I3703" s="4" t="s">
        <v>11564</v>
      </c>
      <c r="J3703" s="4" t="s">
        <v>11666</v>
      </c>
      <c r="K3703" s="4" t="s">
        <v>11782</v>
      </c>
      <c r="L3703" s="5">
        <v>56431</v>
      </c>
    </row>
    <row r="3704" spans="1:12" x14ac:dyDescent="0.25">
      <c r="A3704" s="3" t="s">
        <v>10786</v>
      </c>
      <c r="B3704" s="4" t="s">
        <v>11510</v>
      </c>
      <c r="C3704" s="4" t="s">
        <v>25</v>
      </c>
      <c r="D3704" s="4" t="s">
        <v>26</v>
      </c>
      <c r="E3704" s="5" t="str">
        <f>"9190516"</f>
        <v>9190516</v>
      </c>
      <c r="F3704" s="3" t="s">
        <v>11783</v>
      </c>
      <c r="G3704" s="5">
        <v>2310608952</v>
      </c>
      <c r="H3704" s="4" t="s">
        <v>11784</v>
      </c>
      <c r="I3704" s="4" t="s">
        <v>11564</v>
      </c>
      <c r="J3704" s="4" t="s">
        <v>11656</v>
      </c>
      <c r="K3704" s="4" t="s">
        <v>11785</v>
      </c>
      <c r="L3704" s="5">
        <v>56429</v>
      </c>
    </row>
    <row r="3705" spans="1:12" x14ac:dyDescent="0.25">
      <c r="A3705" s="3" t="s">
        <v>10786</v>
      </c>
      <c r="B3705" s="4" t="s">
        <v>11510</v>
      </c>
      <c r="C3705" s="4" t="s">
        <v>14</v>
      </c>
      <c r="D3705" s="4" t="s">
        <v>15</v>
      </c>
      <c r="E3705" s="5" t="str">
        <f>"9190929"</f>
        <v>9190929</v>
      </c>
      <c r="F3705" s="3" t="s">
        <v>11786</v>
      </c>
      <c r="G3705" s="5">
        <v>2310695993</v>
      </c>
      <c r="H3705" s="4" t="s">
        <v>11787</v>
      </c>
      <c r="I3705" s="4" t="s">
        <v>11635</v>
      </c>
      <c r="J3705" s="4" t="s">
        <v>11636</v>
      </c>
      <c r="K3705" s="4" t="s">
        <v>11788</v>
      </c>
      <c r="L3705" s="5">
        <v>57013</v>
      </c>
    </row>
    <row r="3706" spans="1:12" x14ac:dyDescent="0.25">
      <c r="A3706" s="3" t="s">
        <v>10786</v>
      </c>
      <c r="B3706" s="4" t="s">
        <v>11510</v>
      </c>
      <c r="C3706" s="4" t="s">
        <v>25</v>
      </c>
      <c r="D3706" s="4" t="s">
        <v>26</v>
      </c>
      <c r="E3706" s="5" t="str">
        <f>"9190595"</f>
        <v>9190595</v>
      </c>
      <c r="F3706" s="3" t="s">
        <v>11789</v>
      </c>
      <c r="G3706" s="5">
        <v>2310650251</v>
      </c>
      <c r="H3706" s="4" t="s">
        <v>11790</v>
      </c>
      <c r="I3706" s="4" t="s">
        <v>11564</v>
      </c>
      <c r="J3706" s="4" t="s">
        <v>11656</v>
      </c>
      <c r="K3706" s="4" t="s">
        <v>11791</v>
      </c>
      <c r="L3706" s="5">
        <v>56533</v>
      </c>
    </row>
    <row r="3707" spans="1:12" x14ac:dyDescent="0.25">
      <c r="A3707" s="3" t="s">
        <v>10786</v>
      </c>
      <c r="B3707" s="4" t="s">
        <v>11510</v>
      </c>
      <c r="C3707" s="4" t="s">
        <v>25</v>
      </c>
      <c r="D3707" s="4" t="s">
        <v>26</v>
      </c>
      <c r="E3707" s="5" t="str">
        <f>"9190593"</f>
        <v>9190593</v>
      </c>
      <c r="F3707" s="3" t="s">
        <v>11792</v>
      </c>
      <c r="G3707" s="5">
        <v>2310632108</v>
      </c>
      <c r="H3707" s="4" t="s">
        <v>11793</v>
      </c>
      <c r="I3707" s="4" t="s">
        <v>11651</v>
      </c>
      <c r="J3707" s="4" t="s">
        <v>11794</v>
      </c>
      <c r="K3707" s="4" t="s">
        <v>11795</v>
      </c>
      <c r="L3707" s="5">
        <v>56728</v>
      </c>
    </row>
    <row r="3708" spans="1:12" x14ac:dyDescent="0.25">
      <c r="A3708" s="3" t="s">
        <v>10786</v>
      </c>
      <c r="B3708" s="4" t="s">
        <v>11510</v>
      </c>
      <c r="C3708" s="4" t="s">
        <v>25</v>
      </c>
      <c r="D3708" s="4" t="s">
        <v>26</v>
      </c>
      <c r="E3708" s="5" t="str">
        <f>"9190679"</f>
        <v>9190679</v>
      </c>
      <c r="F3708" s="3" t="s">
        <v>11796</v>
      </c>
      <c r="G3708" s="5">
        <v>2311232720</v>
      </c>
      <c r="H3708" s="4" t="s">
        <v>11797</v>
      </c>
      <c r="I3708" s="4" t="s">
        <v>11651</v>
      </c>
      <c r="J3708" s="4" t="s">
        <v>11794</v>
      </c>
      <c r="K3708" s="4" t="s">
        <v>11798</v>
      </c>
      <c r="L3708" s="5">
        <v>56728</v>
      </c>
    </row>
    <row r="3709" spans="1:12" x14ac:dyDescent="0.25">
      <c r="A3709" s="3" t="s">
        <v>10786</v>
      </c>
      <c r="B3709" s="4" t="s">
        <v>11510</v>
      </c>
      <c r="C3709" s="4" t="s">
        <v>14</v>
      </c>
      <c r="D3709" s="4" t="s">
        <v>15</v>
      </c>
      <c r="E3709" s="5" t="str">
        <f>"9190232"</f>
        <v>9190232</v>
      </c>
      <c r="F3709" s="3" t="s">
        <v>11799</v>
      </c>
      <c r="G3709" s="5">
        <v>2394041205</v>
      </c>
      <c r="H3709" s="4" t="s">
        <v>11800</v>
      </c>
      <c r="I3709" s="4" t="s">
        <v>11682</v>
      </c>
      <c r="J3709" s="4" t="s">
        <v>11801</v>
      </c>
      <c r="K3709" s="4" t="s">
        <v>11801</v>
      </c>
      <c r="L3709" s="5">
        <v>57200</v>
      </c>
    </row>
    <row r="3710" spans="1:12" x14ac:dyDescent="0.25">
      <c r="A3710" s="3" t="s">
        <v>10786</v>
      </c>
      <c r="B3710" s="4" t="s">
        <v>11510</v>
      </c>
      <c r="C3710" s="4" t="s">
        <v>14</v>
      </c>
      <c r="D3710" s="4" t="s">
        <v>15</v>
      </c>
      <c r="E3710" s="5" t="str">
        <f>"9190314"</f>
        <v>9190314</v>
      </c>
      <c r="F3710" s="3" t="s">
        <v>11802</v>
      </c>
      <c r="G3710" s="5">
        <v>2310713360</v>
      </c>
      <c r="H3710" s="4" t="s">
        <v>11803</v>
      </c>
      <c r="I3710" s="4" t="s">
        <v>11575</v>
      </c>
      <c r="J3710" s="4" t="s">
        <v>11576</v>
      </c>
      <c r="K3710" s="4" t="s">
        <v>11804</v>
      </c>
      <c r="L3710" s="5">
        <v>57011</v>
      </c>
    </row>
    <row r="3711" spans="1:12" x14ac:dyDescent="0.25">
      <c r="A3711" s="3" t="s">
        <v>10786</v>
      </c>
      <c r="B3711" s="4" t="s">
        <v>11510</v>
      </c>
      <c r="C3711" s="4" t="s">
        <v>25</v>
      </c>
      <c r="D3711" s="4" t="s">
        <v>26</v>
      </c>
      <c r="E3711" s="5" t="str">
        <f>"9190485"</f>
        <v>9190485</v>
      </c>
      <c r="F3711" s="3" t="s">
        <v>11805</v>
      </c>
      <c r="G3711" s="5">
        <v>2394032695</v>
      </c>
      <c r="H3711" s="4" t="s">
        <v>11806</v>
      </c>
      <c r="I3711" s="4" t="s">
        <v>11635</v>
      </c>
      <c r="J3711" s="4" t="s">
        <v>11807</v>
      </c>
      <c r="K3711" s="4" t="s">
        <v>11808</v>
      </c>
      <c r="L3711" s="5">
        <v>57200</v>
      </c>
    </row>
    <row r="3712" spans="1:12" x14ac:dyDescent="0.25">
      <c r="A3712" s="3" t="s">
        <v>10786</v>
      </c>
      <c r="B3712" s="4" t="s">
        <v>11510</v>
      </c>
      <c r="C3712" s="4" t="s">
        <v>14</v>
      </c>
      <c r="D3712" s="4" t="s">
        <v>15</v>
      </c>
      <c r="E3712" s="5" t="str">
        <f>"9190315"</f>
        <v>9190315</v>
      </c>
      <c r="F3712" s="3" t="s">
        <v>11809</v>
      </c>
      <c r="G3712" s="5">
        <v>2310788058</v>
      </c>
      <c r="H3712" s="4" t="s">
        <v>11810</v>
      </c>
      <c r="I3712" s="4" t="s">
        <v>11635</v>
      </c>
      <c r="J3712" s="4" t="s">
        <v>11811</v>
      </c>
      <c r="K3712" s="4" t="s">
        <v>11811</v>
      </c>
      <c r="L3712" s="5">
        <v>54500</v>
      </c>
    </row>
    <row r="3713" spans="1:12" x14ac:dyDescent="0.25">
      <c r="A3713" s="3" t="s">
        <v>10786</v>
      </c>
      <c r="B3713" s="4" t="s">
        <v>11510</v>
      </c>
      <c r="C3713" s="4" t="s">
        <v>14</v>
      </c>
      <c r="D3713" s="4" t="s">
        <v>452</v>
      </c>
      <c r="E3713" s="5" t="str">
        <f>"9190172"</f>
        <v>9190172</v>
      </c>
      <c r="F3713" s="3" t="s">
        <v>11812</v>
      </c>
      <c r="G3713" s="5">
        <v>2310205450</v>
      </c>
      <c r="H3713" s="4" t="s">
        <v>11813</v>
      </c>
      <c r="I3713" s="4" t="s">
        <v>11651</v>
      </c>
      <c r="J3713" s="4" t="s">
        <v>11814</v>
      </c>
      <c r="K3713" s="4" t="s">
        <v>11815</v>
      </c>
      <c r="L3713" s="5">
        <v>54636</v>
      </c>
    </row>
    <row r="3714" spans="1:12" x14ac:dyDescent="0.25">
      <c r="A3714" s="3" t="s">
        <v>10786</v>
      </c>
      <c r="B3714" s="4" t="s">
        <v>11510</v>
      </c>
      <c r="C3714" s="4" t="s">
        <v>14</v>
      </c>
      <c r="D3714" s="4" t="s">
        <v>15</v>
      </c>
      <c r="E3714" s="5" t="str">
        <f>"9190558"</f>
        <v>9190558</v>
      </c>
      <c r="F3714" s="3" t="s">
        <v>11816</v>
      </c>
      <c r="G3714" s="5">
        <v>2310613727</v>
      </c>
      <c r="H3714" s="4" t="s">
        <v>11817</v>
      </c>
      <c r="I3714" s="4" t="s">
        <v>11651</v>
      </c>
      <c r="J3714" s="4" t="s">
        <v>11818</v>
      </c>
      <c r="K3714" s="4" t="s">
        <v>11819</v>
      </c>
      <c r="L3714" s="5">
        <v>56626</v>
      </c>
    </row>
    <row r="3715" spans="1:12" x14ac:dyDescent="0.25">
      <c r="A3715" s="3" t="s">
        <v>10786</v>
      </c>
      <c r="B3715" s="4" t="s">
        <v>11510</v>
      </c>
      <c r="C3715" s="4" t="s">
        <v>14</v>
      </c>
      <c r="D3715" s="4" t="s">
        <v>15</v>
      </c>
      <c r="E3715" s="5" t="str">
        <f>"9190269"</f>
        <v>9190269</v>
      </c>
      <c r="F3715" s="3" t="s">
        <v>11820</v>
      </c>
      <c r="G3715" s="5">
        <v>2391031247</v>
      </c>
      <c r="H3715" s="4" t="s">
        <v>11821</v>
      </c>
      <c r="I3715" s="4" t="s">
        <v>11575</v>
      </c>
      <c r="J3715" s="4" t="s">
        <v>11822</v>
      </c>
      <c r="K3715" s="4" t="s">
        <v>11767</v>
      </c>
      <c r="L3715" s="5">
        <v>57007</v>
      </c>
    </row>
    <row r="3716" spans="1:12" x14ac:dyDescent="0.25">
      <c r="A3716" s="3" t="s">
        <v>10786</v>
      </c>
      <c r="B3716" s="4" t="s">
        <v>11510</v>
      </c>
      <c r="C3716" s="4" t="s">
        <v>14</v>
      </c>
      <c r="D3716" s="4" t="s">
        <v>15</v>
      </c>
      <c r="E3716" s="5" t="str">
        <f>"9520876"</f>
        <v>9520876</v>
      </c>
      <c r="F3716" s="3" t="s">
        <v>11823</v>
      </c>
      <c r="G3716" s="5">
        <v>2310700093</v>
      </c>
      <c r="H3716" s="4" t="s">
        <v>11824</v>
      </c>
      <c r="I3716" s="4" t="s">
        <v>11513</v>
      </c>
      <c r="J3716" s="4" t="s">
        <v>11557</v>
      </c>
      <c r="K3716" s="4" t="s">
        <v>11825</v>
      </c>
      <c r="L3716" s="5">
        <v>56224</v>
      </c>
    </row>
    <row r="3717" spans="1:12" x14ac:dyDescent="0.25">
      <c r="A3717" s="3" t="s">
        <v>10786</v>
      </c>
      <c r="B3717" s="4" t="s">
        <v>11510</v>
      </c>
      <c r="C3717" s="4" t="s">
        <v>25</v>
      </c>
      <c r="D3717" s="4" t="s">
        <v>26</v>
      </c>
      <c r="E3717" s="5" t="str">
        <f>"9190205"</f>
        <v>9190205</v>
      </c>
      <c r="F3717" s="3" t="s">
        <v>11826</v>
      </c>
      <c r="G3717" s="5">
        <v>2394023245</v>
      </c>
      <c r="H3717" s="4" t="s">
        <v>11827</v>
      </c>
      <c r="I3717" s="4" t="s">
        <v>11682</v>
      </c>
      <c r="J3717" s="4" t="s">
        <v>11682</v>
      </c>
      <c r="K3717" s="4" t="s">
        <v>11828</v>
      </c>
      <c r="L3717" s="5">
        <v>57200</v>
      </c>
    </row>
    <row r="3718" spans="1:12" x14ac:dyDescent="0.25">
      <c r="A3718" s="3" t="s">
        <v>10786</v>
      </c>
      <c r="B3718" s="4" t="s">
        <v>11510</v>
      </c>
      <c r="C3718" s="4" t="s">
        <v>25</v>
      </c>
      <c r="D3718" s="4" t="s">
        <v>26</v>
      </c>
      <c r="E3718" s="5" t="str">
        <f>"9190460"</f>
        <v>9190460</v>
      </c>
      <c r="F3718" s="3" t="s">
        <v>11829</v>
      </c>
      <c r="G3718" s="5">
        <v>2310203120</v>
      </c>
      <c r="H3718" s="4" t="s">
        <v>11830</v>
      </c>
      <c r="I3718" s="4" t="s">
        <v>11651</v>
      </c>
      <c r="J3718" s="4" t="s">
        <v>11831</v>
      </c>
      <c r="K3718" s="4" t="s">
        <v>11815</v>
      </c>
      <c r="L3718" s="5">
        <v>54636</v>
      </c>
    </row>
    <row r="3719" spans="1:12" x14ac:dyDescent="0.25">
      <c r="A3719" s="3" t="s">
        <v>10786</v>
      </c>
      <c r="B3719" s="4" t="s">
        <v>11510</v>
      </c>
      <c r="C3719" s="4" t="s">
        <v>25</v>
      </c>
      <c r="D3719" s="4" t="s">
        <v>26</v>
      </c>
      <c r="E3719" s="5" t="str">
        <f>"9520589"</f>
        <v>9520589</v>
      </c>
      <c r="F3719" s="3" t="s">
        <v>11832</v>
      </c>
      <c r="G3719" s="5">
        <v>2310968426</v>
      </c>
      <c r="H3719" s="4" t="s">
        <v>11833</v>
      </c>
      <c r="I3719" s="4" t="s">
        <v>11651</v>
      </c>
      <c r="J3719" s="4" t="s">
        <v>11834</v>
      </c>
      <c r="K3719" s="4" t="s">
        <v>11835</v>
      </c>
      <c r="L3719" s="5">
        <v>55438</v>
      </c>
    </row>
    <row r="3720" spans="1:12" x14ac:dyDescent="0.25">
      <c r="A3720" s="3" t="s">
        <v>10786</v>
      </c>
      <c r="B3720" s="4" t="s">
        <v>11510</v>
      </c>
      <c r="C3720" s="4" t="s">
        <v>25</v>
      </c>
      <c r="D3720" s="4" t="s">
        <v>26</v>
      </c>
      <c r="E3720" s="5" t="str">
        <f>"9520977"</f>
        <v>9520977</v>
      </c>
      <c r="F3720" s="3" t="s">
        <v>11836</v>
      </c>
      <c r="G3720" s="5">
        <v>2310721843</v>
      </c>
      <c r="H3720" s="4" t="s">
        <v>11837</v>
      </c>
      <c r="I3720" s="4" t="s">
        <v>11616</v>
      </c>
      <c r="J3720" s="4" t="s">
        <v>10391</v>
      </c>
      <c r="K3720" s="4" t="s">
        <v>11838</v>
      </c>
      <c r="L3720" s="5">
        <v>56123</v>
      </c>
    </row>
    <row r="3721" spans="1:12" x14ac:dyDescent="0.25">
      <c r="A3721" s="3" t="s">
        <v>10786</v>
      </c>
      <c r="B3721" s="4" t="s">
        <v>11510</v>
      </c>
      <c r="C3721" s="4" t="s">
        <v>14</v>
      </c>
      <c r="D3721" s="4" t="s">
        <v>15</v>
      </c>
      <c r="E3721" s="5" t="str">
        <f>"9190911"</f>
        <v>9190911</v>
      </c>
      <c r="F3721" s="3" t="s">
        <v>11839</v>
      </c>
      <c r="G3721" s="5">
        <v>2316010927</v>
      </c>
      <c r="H3721" s="4" t="s">
        <v>11840</v>
      </c>
      <c r="I3721" s="4" t="s">
        <v>11564</v>
      </c>
      <c r="J3721" s="4" t="s">
        <v>11645</v>
      </c>
      <c r="K3721" s="4" t="s">
        <v>11841</v>
      </c>
      <c r="L3721" s="5">
        <v>56429</v>
      </c>
    </row>
    <row r="3722" spans="1:12" x14ac:dyDescent="0.25">
      <c r="A3722" s="3" t="s">
        <v>10786</v>
      </c>
      <c r="B3722" s="4" t="s">
        <v>11510</v>
      </c>
      <c r="C3722" s="4" t="s">
        <v>14</v>
      </c>
      <c r="D3722" s="4" t="s">
        <v>15</v>
      </c>
      <c r="E3722" s="5" t="str">
        <f>"9190894"</f>
        <v>9190894</v>
      </c>
      <c r="F3722" s="3" t="s">
        <v>11842</v>
      </c>
      <c r="G3722" s="5">
        <v>2310774467</v>
      </c>
      <c r="H3722" s="4" t="s">
        <v>11843</v>
      </c>
      <c r="I3722" s="4" t="s">
        <v>11513</v>
      </c>
      <c r="J3722" s="4" t="s">
        <v>11735</v>
      </c>
      <c r="K3722" s="4" t="s">
        <v>11844</v>
      </c>
      <c r="L3722" s="5">
        <v>56334</v>
      </c>
    </row>
    <row r="3723" spans="1:12" x14ac:dyDescent="0.25">
      <c r="A3723" s="3" t="s">
        <v>10786</v>
      </c>
      <c r="B3723" s="4" t="s">
        <v>11510</v>
      </c>
      <c r="C3723" s="4" t="s">
        <v>25</v>
      </c>
      <c r="D3723" s="4" t="s">
        <v>26</v>
      </c>
      <c r="E3723" s="5" t="str">
        <f>"9190102"</f>
        <v>9190102</v>
      </c>
      <c r="F3723" s="3" t="s">
        <v>11845</v>
      </c>
      <c r="G3723" s="5">
        <v>2310631286</v>
      </c>
      <c r="H3723" s="4" t="s">
        <v>11846</v>
      </c>
      <c r="I3723" s="4" t="s">
        <v>11564</v>
      </c>
      <c r="J3723" s="4" t="s">
        <v>11656</v>
      </c>
      <c r="K3723" s="4" t="s">
        <v>11847</v>
      </c>
      <c r="L3723" s="5">
        <v>56532</v>
      </c>
    </row>
    <row r="3724" spans="1:12" x14ac:dyDescent="0.25">
      <c r="A3724" s="3" t="s">
        <v>10786</v>
      </c>
      <c r="B3724" s="4" t="s">
        <v>11510</v>
      </c>
      <c r="C3724" s="4" t="s">
        <v>14</v>
      </c>
      <c r="D3724" s="4" t="s">
        <v>960</v>
      </c>
      <c r="E3724" s="5" t="str">
        <f>"9190835"</f>
        <v>9190835</v>
      </c>
      <c r="F3724" s="3" t="s">
        <v>11848</v>
      </c>
      <c r="G3724" s="5">
        <v>2310707313</v>
      </c>
      <c r="H3724" s="4" t="s">
        <v>11849</v>
      </c>
      <c r="I3724" s="4" t="s">
        <v>11616</v>
      </c>
      <c r="J3724" s="4" t="s">
        <v>11850</v>
      </c>
      <c r="K3724" s="4" t="s">
        <v>11851</v>
      </c>
      <c r="L3724" s="5">
        <v>54628</v>
      </c>
    </row>
    <row r="3725" spans="1:12" x14ac:dyDescent="0.25">
      <c r="A3725" s="3" t="s">
        <v>10786</v>
      </c>
      <c r="B3725" s="4" t="s">
        <v>11510</v>
      </c>
      <c r="C3725" s="4" t="s">
        <v>14</v>
      </c>
      <c r="D3725" s="4" t="s">
        <v>15</v>
      </c>
      <c r="E3725" s="5" t="str">
        <f>"9190077"</f>
        <v>9190077</v>
      </c>
      <c r="F3725" s="3" t="s">
        <v>11852</v>
      </c>
      <c r="G3725" s="5">
        <v>2310602211</v>
      </c>
      <c r="H3725" s="4" t="s">
        <v>11853</v>
      </c>
      <c r="I3725" s="4" t="s">
        <v>11564</v>
      </c>
      <c r="J3725" s="4" t="s">
        <v>10813</v>
      </c>
      <c r="K3725" s="4" t="s">
        <v>11854</v>
      </c>
      <c r="L3725" s="5">
        <v>56430</v>
      </c>
    </row>
    <row r="3726" spans="1:12" x14ac:dyDescent="0.25">
      <c r="A3726" s="3" t="s">
        <v>10786</v>
      </c>
      <c r="B3726" s="4" t="s">
        <v>11510</v>
      </c>
      <c r="C3726" s="4" t="s">
        <v>14</v>
      </c>
      <c r="D3726" s="4" t="s">
        <v>15</v>
      </c>
      <c r="E3726" s="5" t="str">
        <f>"9190209"</f>
        <v>9190209</v>
      </c>
      <c r="F3726" s="3" t="s">
        <v>11855</v>
      </c>
      <c r="G3726" s="5">
        <v>2395022228</v>
      </c>
      <c r="H3726" s="4" t="s">
        <v>11856</v>
      </c>
      <c r="I3726" s="4" t="s">
        <v>11682</v>
      </c>
      <c r="J3726" s="4" t="s">
        <v>11857</v>
      </c>
      <c r="K3726" s="4" t="s">
        <v>11858</v>
      </c>
      <c r="L3726" s="5">
        <v>57002</v>
      </c>
    </row>
    <row r="3727" spans="1:12" x14ac:dyDescent="0.25">
      <c r="A3727" s="3" t="s">
        <v>10786</v>
      </c>
      <c r="B3727" s="4" t="s">
        <v>11510</v>
      </c>
      <c r="C3727" s="4" t="s">
        <v>25</v>
      </c>
      <c r="D3727" s="4" t="s">
        <v>26</v>
      </c>
      <c r="E3727" s="5" t="str">
        <f>"9190189"</f>
        <v>9190189</v>
      </c>
      <c r="F3727" s="3" t="s">
        <v>11859</v>
      </c>
      <c r="G3727" s="5">
        <v>2310625381</v>
      </c>
      <c r="H3727" s="4" t="s">
        <v>11860</v>
      </c>
      <c r="I3727" s="4" t="s">
        <v>11651</v>
      </c>
      <c r="J3727" s="4" t="s">
        <v>11652</v>
      </c>
      <c r="K3727" s="4" t="s">
        <v>11861</v>
      </c>
      <c r="L3727" s="5">
        <v>56625</v>
      </c>
    </row>
    <row r="3728" spans="1:12" x14ac:dyDescent="0.25">
      <c r="A3728" s="3" t="s">
        <v>10786</v>
      </c>
      <c r="B3728" s="4" t="s">
        <v>11510</v>
      </c>
      <c r="C3728" s="4" t="s">
        <v>14</v>
      </c>
      <c r="D3728" s="4" t="s">
        <v>15</v>
      </c>
      <c r="E3728" s="5" t="str">
        <f>"9190383"</f>
        <v>9190383</v>
      </c>
      <c r="F3728" s="3" t="s">
        <v>11862</v>
      </c>
      <c r="G3728" s="5">
        <v>2397022205</v>
      </c>
      <c r="H3728" s="4" t="s">
        <v>11863</v>
      </c>
      <c r="I3728" s="4" t="s">
        <v>11687</v>
      </c>
      <c r="J3728" s="4" t="s">
        <v>11864</v>
      </c>
      <c r="K3728" s="4" t="s">
        <v>11864</v>
      </c>
      <c r="L3728" s="5">
        <v>57021</v>
      </c>
    </row>
    <row r="3729" spans="1:12" x14ac:dyDescent="0.25">
      <c r="A3729" s="3" t="s">
        <v>10786</v>
      </c>
      <c r="B3729" s="4" t="s">
        <v>11510</v>
      </c>
      <c r="C3729" s="4" t="s">
        <v>14</v>
      </c>
      <c r="D3729" s="4" t="s">
        <v>15</v>
      </c>
      <c r="E3729" s="5" t="str">
        <f>"9190082"</f>
        <v>9190082</v>
      </c>
      <c r="F3729" s="3" t="s">
        <v>11865</v>
      </c>
      <c r="G3729" s="5">
        <v>2310654088</v>
      </c>
      <c r="H3729" s="4" t="s">
        <v>11866</v>
      </c>
      <c r="I3729" s="4" t="s">
        <v>11564</v>
      </c>
      <c r="J3729" s="4" t="s">
        <v>11666</v>
      </c>
      <c r="K3729" s="4" t="s">
        <v>11867</v>
      </c>
      <c r="L3729" s="5">
        <v>56430</v>
      </c>
    </row>
    <row r="3730" spans="1:12" x14ac:dyDescent="0.25">
      <c r="A3730" s="3" t="s">
        <v>10786</v>
      </c>
      <c r="B3730" s="4" t="s">
        <v>11510</v>
      </c>
      <c r="C3730" s="4" t="s">
        <v>25</v>
      </c>
      <c r="D3730" s="4" t="s">
        <v>26</v>
      </c>
      <c r="E3730" s="5" t="str">
        <f>"9190511"</f>
        <v>9190511</v>
      </c>
      <c r="F3730" s="3" t="s">
        <v>11868</v>
      </c>
      <c r="G3730" s="5">
        <v>2310554251</v>
      </c>
      <c r="H3730" s="4" t="s">
        <v>11869</v>
      </c>
      <c r="I3730" s="4" t="s">
        <v>11651</v>
      </c>
      <c r="J3730" s="4" t="s">
        <v>11794</v>
      </c>
      <c r="K3730" s="4" t="s">
        <v>11870</v>
      </c>
      <c r="L3730" s="5">
        <v>56728</v>
      </c>
    </row>
    <row r="3731" spans="1:12" x14ac:dyDescent="0.25">
      <c r="A3731" s="3" t="s">
        <v>10786</v>
      </c>
      <c r="B3731" s="4" t="s">
        <v>11510</v>
      </c>
      <c r="C3731" s="4" t="s">
        <v>14</v>
      </c>
      <c r="D3731" s="4" t="s">
        <v>15</v>
      </c>
      <c r="E3731" s="5" t="str">
        <f>"9190641"</f>
        <v>9190641</v>
      </c>
      <c r="F3731" s="3" t="s">
        <v>11871</v>
      </c>
      <c r="G3731" s="5">
        <v>2310610662</v>
      </c>
      <c r="H3731" s="4" t="s">
        <v>11872</v>
      </c>
      <c r="I3731" s="4" t="s">
        <v>11651</v>
      </c>
      <c r="J3731" s="4" t="s">
        <v>11873</v>
      </c>
      <c r="K3731" s="4" t="s">
        <v>11874</v>
      </c>
      <c r="L3731" s="5">
        <v>56625</v>
      </c>
    </row>
    <row r="3732" spans="1:12" x14ac:dyDescent="0.25">
      <c r="A3732" s="3" t="s">
        <v>10786</v>
      </c>
      <c r="B3732" s="4" t="s">
        <v>11510</v>
      </c>
      <c r="C3732" s="4" t="s">
        <v>25</v>
      </c>
      <c r="D3732" s="4" t="s">
        <v>26</v>
      </c>
      <c r="E3732" s="5" t="str">
        <f>"9190678"</f>
        <v>9190678</v>
      </c>
      <c r="F3732" s="3" t="s">
        <v>11875</v>
      </c>
      <c r="G3732" s="5">
        <v>2310218156</v>
      </c>
      <c r="H3732" s="4" t="s">
        <v>11876</v>
      </c>
      <c r="I3732" s="4" t="s">
        <v>11651</v>
      </c>
      <c r="J3732" s="4" t="s">
        <v>11652</v>
      </c>
      <c r="K3732" s="4" t="s">
        <v>11877</v>
      </c>
      <c r="L3732" s="5">
        <v>56625</v>
      </c>
    </row>
    <row r="3733" spans="1:12" x14ac:dyDescent="0.25">
      <c r="A3733" s="3" t="s">
        <v>10786</v>
      </c>
      <c r="B3733" s="4" t="s">
        <v>11510</v>
      </c>
      <c r="C3733" s="4" t="s">
        <v>25</v>
      </c>
      <c r="D3733" s="4" t="s">
        <v>26</v>
      </c>
      <c r="E3733" s="5" t="str">
        <f>"9190484"</f>
        <v>9190484</v>
      </c>
      <c r="F3733" s="3" t="s">
        <v>11878</v>
      </c>
      <c r="G3733" s="5">
        <v>2394061724</v>
      </c>
      <c r="H3733" s="4" t="s">
        <v>11879</v>
      </c>
      <c r="I3733" s="4" t="s">
        <v>11682</v>
      </c>
      <c r="J3733" s="4" t="s">
        <v>11880</v>
      </c>
      <c r="K3733" s="4" t="s">
        <v>11881</v>
      </c>
      <c r="L3733" s="5">
        <v>57200</v>
      </c>
    </row>
    <row r="3734" spans="1:12" x14ac:dyDescent="0.25">
      <c r="A3734" s="3" t="s">
        <v>10786</v>
      </c>
      <c r="B3734" s="4" t="s">
        <v>11510</v>
      </c>
      <c r="C3734" s="4" t="s">
        <v>25</v>
      </c>
      <c r="D3734" s="4" t="s">
        <v>26</v>
      </c>
      <c r="E3734" s="5" t="str">
        <f>"9190252"</f>
        <v>9190252</v>
      </c>
      <c r="F3734" s="3" t="s">
        <v>11882</v>
      </c>
      <c r="G3734" s="5">
        <v>2393051201</v>
      </c>
      <c r="H3734" s="4" t="s">
        <v>11883</v>
      </c>
      <c r="I3734" s="4" t="s">
        <v>11687</v>
      </c>
      <c r="J3734" s="4" t="s">
        <v>11682</v>
      </c>
      <c r="K3734" s="4" t="s">
        <v>11884</v>
      </c>
      <c r="L3734" s="5">
        <v>57200</v>
      </c>
    </row>
    <row r="3735" spans="1:12" x14ac:dyDescent="0.25">
      <c r="A3735" s="3" t="s">
        <v>10786</v>
      </c>
      <c r="B3735" s="4" t="s">
        <v>11510</v>
      </c>
      <c r="C3735" s="4" t="s">
        <v>25</v>
      </c>
      <c r="D3735" s="4" t="s">
        <v>26</v>
      </c>
      <c r="E3735" s="5" t="str">
        <f>"9190784"</f>
        <v>9190784</v>
      </c>
      <c r="F3735" s="3" t="s">
        <v>11885</v>
      </c>
      <c r="G3735" s="5">
        <v>2397021775</v>
      </c>
      <c r="H3735" s="4" t="s">
        <v>11886</v>
      </c>
      <c r="I3735" s="4" t="s">
        <v>11687</v>
      </c>
      <c r="J3735" s="4" t="s">
        <v>11887</v>
      </c>
      <c r="K3735" s="4" t="s">
        <v>11888</v>
      </c>
      <c r="L3735" s="5">
        <v>57021</v>
      </c>
    </row>
    <row r="3736" spans="1:12" x14ac:dyDescent="0.25">
      <c r="A3736" s="3" t="s">
        <v>10786</v>
      </c>
      <c r="B3736" s="4" t="s">
        <v>11510</v>
      </c>
      <c r="C3736" s="4" t="s">
        <v>14</v>
      </c>
      <c r="D3736" s="4" t="s">
        <v>15</v>
      </c>
      <c r="E3736" s="5" t="str">
        <f>"9520746"</f>
        <v>9520746</v>
      </c>
      <c r="F3736" s="3" t="s">
        <v>11889</v>
      </c>
      <c r="G3736" s="5">
        <v>2310673202</v>
      </c>
      <c r="H3736" s="4" t="s">
        <v>11890</v>
      </c>
      <c r="I3736" s="4" t="s">
        <v>11651</v>
      </c>
      <c r="J3736" s="4" t="s">
        <v>11699</v>
      </c>
      <c r="K3736" s="4" t="s">
        <v>11891</v>
      </c>
      <c r="L3736" s="5">
        <v>57010</v>
      </c>
    </row>
    <row r="3737" spans="1:12" x14ac:dyDescent="0.25">
      <c r="A3737" s="3" t="s">
        <v>10786</v>
      </c>
      <c r="B3737" s="4" t="s">
        <v>11510</v>
      </c>
      <c r="C3737" s="4" t="s">
        <v>25</v>
      </c>
      <c r="D3737" s="4" t="s">
        <v>26</v>
      </c>
      <c r="E3737" s="5" t="str">
        <f>"9190200"</f>
        <v>9190200</v>
      </c>
      <c r="F3737" s="3" t="s">
        <v>11892</v>
      </c>
      <c r="G3737" s="5">
        <v>2394072064</v>
      </c>
      <c r="H3737" s="4" t="s">
        <v>11893</v>
      </c>
      <c r="I3737" s="4" t="s">
        <v>11635</v>
      </c>
      <c r="J3737" s="4" t="s">
        <v>11894</v>
      </c>
      <c r="K3737" s="4" t="s">
        <v>11895</v>
      </c>
      <c r="L3737" s="5">
        <v>57200</v>
      </c>
    </row>
    <row r="3738" spans="1:12" x14ac:dyDescent="0.25">
      <c r="A3738" s="3" t="s">
        <v>10786</v>
      </c>
      <c r="B3738" s="4" t="s">
        <v>11510</v>
      </c>
      <c r="C3738" s="4" t="s">
        <v>25</v>
      </c>
      <c r="D3738" s="4" t="s">
        <v>26</v>
      </c>
      <c r="E3738" s="5" t="str">
        <f>"9190617"</f>
        <v>9190617</v>
      </c>
      <c r="F3738" s="3" t="s">
        <v>11896</v>
      </c>
      <c r="G3738" s="5">
        <v>2394022524</v>
      </c>
      <c r="H3738" s="4" t="s">
        <v>11897</v>
      </c>
      <c r="I3738" s="4" t="s">
        <v>11682</v>
      </c>
      <c r="J3738" s="4" t="s">
        <v>11682</v>
      </c>
      <c r="K3738" s="4" t="s">
        <v>11898</v>
      </c>
      <c r="L3738" s="5">
        <v>57200</v>
      </c>
    </row>
    <row r="3739" spans="1:12" x14ac:dyDescent="0.25">
      <c r="A3739" s="3" t="s">
        <v>10786</v>
      </c>
      <c r="B3739" s="4" t="s">
        <v>11510</v>
      </c>
      <c r="C3739" s="4" t="s">
        <v>25</v>
      </c>
      <c r="D3739" s="4" t="s">
        <v>26</v>
      </c>
      <c r="E3739" s="5" t="str">
        <f>"9190233"</f>
        <v>9190233</v>
      </c>
      <c r="F3739" s="3" t="s">
        <v>11899</v>
      </c>
      <c r="G3739" s="5">
        <v>2394041009</v>
      </c>
      <c r="H3739" s="4" t="s">
        <v>11900</v>
      </c>
      <c r="I3739" s="4" t="s">
        <v>11682</v>
      </c>
      <c r="J3739" s="4" t="s">
        <v>11901</v>
      </c>
      <c r="K3739" s="4" t="s">
        <v>11801</v>
      </c>
      <c r="L3739" s="5">
        <v>57200</v>
      </c>
    </row>
    <row r="3740" spans="1:12" x14ac:dyDescent="0.25">
      <c r="A3740" s="3" t="s">
        <v>10786</v>
      </c>
      <c r="B3740" s="4" t="s">
        <v>11510</v>
      </c>
      <c r="C3740" s="4" t="s">
        <v>25</v>
      </c>
      <c r="D3740" s="4" t="s">
        <v>26</v>
      </c>
      <c r="E3740" s="5" t="str">
        <f>"9190096"</f>
        <v>9190096</v>
      </c>
      <c r="F3740" s="3" t="s">
        <v>11902</v>
      </c>
      <c r="G3740" s="5">
        <v>2310629100</v>
      </c>
      <c r="H3740" s="4" t="s">
        <v>11903</v>
      </c>
      <c r="I3740" s="4" t="s">
        <v>11651</v>
      </c>
      <c r="J3740" s="4" t="s">
        <v>11652</v>
      </c>
      <c r="K3740" s="4" t="s">
        <v>11904</v>
      </c>
      <c r="L3740" s="5">
        <v>56626</v>
      </c>
    </row>
    <row r="3741" spans="1:12" x14ac:dyDescent="0.25">
      <c r="A3741" s="3" t="s">
        <v>10786</v>
      </c>
      <c r="B3741" s="4" t="s">
        <v>11510</v>
      </c>
      <c r="C3741" s="4" t="s">
        <v>25</v>
      </c>
      <c r="D3741" s="4" t="s">
        <v>26</v>
      </c>
      <c r="E3741" s="5" t="str">
        <f>"9190476"</f>
        <v>9190476</v>
      </c>
      <c r="F3741" s="3" t="s">
        <v>11905</v>
      </c>
      <c r="G3741" s="5">
        <v>2310715534</v>
      </c>
      <c r="H3741" s="4" t="s">
        <v>11906</v>
      </c>
      <c r="I3741" s="4" t="s">
        <v>11575</v>
      </c>
      <c r="J3741" s="4" t="s">
        <v>11907</v>
      </c>
      <c r="K3741" s="4" t="s">
        <v>11908</v>
      </c>
      <c r="L3741" s="5">
        <v>57011</v>
      </c>
    </row>
    <row r="3742" spans="1:12" x14ac:dyDescent="0.25">
      <c r="A3742" s="3" t="s">
        <v>10786</v>
      </c>
      <c r="B3742" s="4" t="s">
        <v>11510</v>
      </c>
      <c r="C3742" s="4" t="s">
        <v>14</v>
      </c>
      <c r="D3742" s="4" t="s">
        <v>15</v>
      </c>
      <c r="E3742" s="5" t="str">
        <f>"9190073"</f>
        <v>9190073</v>
      </c>
      <c r="F3742" s="3" t="s">
        <v>11909</v>
      </c>
      <c r="G3742" s="5">
        <v>2310622570</v>
      </c>
      <c r="H3742" s="4" t="s">
        <v>11910</v>
      </c>
      <c r="I3742" s="4" t="s">
        <v>11564</v>
      </c>
      <c r="J3742" s="4" t="s">
        <v>11731</v>
      </c>
      <c r="K3742" s="4" t="s">
        <v>11911</v>
      </c>
      <c r="L3742" s="5">
        <v>56532</v>
      </c>
    </row>
    <row r="3743" spans="1:12" x14ac:dyDescent="0.25">
      <c r="A3743" s="3" t="s">
        <v>10786</v>
      </c>
      <c r="B3743" s="4" t="s">
        <v>11510</v>
      </c>
      <c r="C3743" s="4" t="s">
        <v>14</v>
      </c>
      <c r="D3743" s="4" t="s">
        <v>15</v>
      </c>
      <c r="E3743" s="5" t="str">
        <f>"9190288"</f>
        <v>9190288</v>
      </c>
      <c r="F3743" s="3" t="s">
        <v>11912</v>
      </c>
      <c r="G3743" s="5">
        <v>2310792314</v>
      </c>
      <c r="H3743" s="4" t="s">
        <v>11913</v>
      </c>
      <c r="I3743" s="4" t="s">
        <v>11640</v>
      </c>
      <c r="J3743" s="4" t="s">
        <v>11763</v>
      </c>
      <c r="K3743" s="4" t="s">
        <v>11914</v>
      </c>
      <c r="L3743" s="5">
        <v>57300</v>
      </c>
    </row>
    <row r="3744" spans="1:12" x14ac:dyDescent="0.25">
      <c r="A3744" s="3" t="s">
        <v>10786</v>
      </c>
      <c r="B3744" s="4" t="s">
        <v>11510</v>
      </c>
      <c r="C3744" s="4" t="s">
        <v>14</v>
      </c>
      <c r="D3744" s="4" t="s">
        <v>15</v>
      </c>
      <c r="E3744" s="5" t="str">
        <f>"9190124"</f>
        <v>9190124</v>
      </c>
      <c r="F3744" s="3" t="s">
        <v>11915</v>
      </c>
      <c r="G3744" s="5">
        <v>2310763718</v>
      </c>
      <c r="H3744" s="4" t="s">
        <v>11916</v>
      </c>
      <c r="I3744" s="4" t="s">
        <v>11513</v>
      </c>
      <c r="J3744" s="4" t="s">
        <v>11735</v>
      </c>
      <c r="K3744" s="4" t="s">
        <v>11917</v>
      </c>
      <c r="L3744" s="5">
        <v>56334</v>
      </c>
    </row>
    <row r="3745" spans="1:12" x14ac:dyDescent="0.25">
      <c r="A3745" s="3" t="s">
        <v>10786</v>
      </c>
      <c r="B3745" s="4" t="s">
        <v>11510</v>
      </c>
      <c r="C3745" s="4" t="s">
        <v>25</v>
      </c>
      <c r="D3745" s="4" t="s">
        <v>26</v>
      </c>
      <c r="E3745" s="5" t="str">
        <f>"9190321"</f>
        <v>9190321</v>
      </c>
      <c r="F3745" s="3" t="s">
        <v>11918</v>
      </c>
      <c r="G3745" s="5">
        <v>2391053299</v>
      </c>
      <c r="H3745" s="4" t="s">
        <v>11919</v>
      </c>
      <c r="I3745" s="4" t="s">
        <v>11575</v>
      </c>
      <c r="J3745" s="4" t="s">
        <v>11920</v>
      </c>
      <c r="K3745" s="4" t="s">
        <v>11921</v>
      </c>
      <c r="L3745" s="5">
        <v>57100</v>
      </c>
    </row>
    <row r="3746" spans="1:12" x14ac:dyDescent="0.25">
      <c r="A3746" s="3" t="s">
        <v>10786</v>
      </c>
      <c r="B3746" s="4" t="s">
        <v>11510</v>
      </c>
      <c r="C3746" s="4" t="s">
        <v>14</v>
      </c>
      <c r="D3746" s="4" t="s">
        <v>15</v>
      </c>
      <c r="E3746" s="5" t="str">
        <f>"9190253"</f>
        <v>9190253</v>
      </c>
      <c r="F3746" s="3" t="s">
        <v>11922</v>
      </c>
      <c r="G3746" s="5">
        <v>2393051766</v>
      </c>
      <c r="H3746" s="4" t="s">
        <v>11923</v>
      </c>
      <c r="I3746" s="4" t="s">
        <v>11687</v>
      </c>
      <c r="J3746" s="4" t="s">
        <v>11884</v>
      </c>
      <c r="K3746" s="4" t="s">
        <v>11884</v>
      </c>
      <c r="L3746" s="5">
        <v>57200</v>
      </c>
    </row>
    <row r="3747" spans="1:12" x14ac:dyDescent="0.25">
      <c r="A3747" s="3" t="s">
        <v>10786</v>
      </c>
      <c r="B3747" s="4" t="s">
        <v>11510</v>
      </c>
      <c r="C3747" s="4" t="s">
        <v>25</v>
      </c>
      <c r="D3747" s="4" t="s">
        <v>26</v>
      </c>
      <c r="E3747" s="5" t="str">
        <f>"9190477"</f>
        <v>9190477</v>
      </c>
      <c r="F3747" s="3" t="s">
        <v>11924</v>
      </c>
      <c r="G3747" s="5">
        <v>2310794202</v>
      </c>
      <c r="H3747" s="4" t="s">
        <v>11925</v>
      </c>
      <c r="I3747" s="4" t="s">
        <v>11640</v>
      </c>
      <c r="J3747" s="4" t="s">
        <v>11762</v>
      </c>
      <c r="K3747" s="4" t="s">
        <v>11926</v>
      </c>
      <c r="L3747" s="5">
        <v>57300</v>
      </c>
    </row>
    <row r="3748" spans="1:12" x14ac:dyDescent="0.25">
      <c r="A3748" s="3" t="s">
        <v>10786</v>
      </c>
      <c r="B3748" s="4" t="s">
        <v>11510</v>
      </c>
      <c r="C3748" s="4" t="s">
        <v>14</v>
      </c>
      <c r="D3748" s="4" t="s">
        <v>15</v>
      </c>
      <c r="E3748" s="5" t="str">
        <f>"9190556"</f>
        <v>9190556</v>
      </c>
      <c r="F3748" s="3" t="s">
        <v>11927</v>
      </c>
      <c r="G3748" s="5">
        <v>2310732186</v>
      </c>
      <c r="H3748" s="4" t="s">
        <v>11928</v>
      </c>
      <c r="I3748" s="4" t="s">
        <v>11616</v>
      </c>
      <c r="J3748" s="4" t="s">
        <v>10361</v>
      </c>
      <c r="K3748" s="4" t="s">
        <v>11929</v>
      </c>
      <c r="L3748" s="5">
        <v>56121</v>
      </c>
    </row>
    <row r="3749" spans="1:12" ht="30" x14ac:dyDescent="0.25">
      <c r="A3749" s="3" t="s">
        <v>10786</v>
      </c>
      <c r="B3749" s="4" t="s">
        <v>11510</v>
      </c>
      <c r="C3749" s="4" t="s">
        <v>14</v>
      </c>
      <c r="D3749" s="4" t="s">
        <v>960</v>
      </c>
      <c r="E3749" s="5" t="str">
        <f>"9190796"</f>
        <v>9190796</v>
      </c>
      <c r="F3749" s="3" t="s">
        <v>11930</v>
      </c>
      <c r="G3749" s="5">
        <v>2310761420</v>
      </c>
      <c r="H3749" s="4" t="s">
        <v>11931</v>
      </c>
      <c r="I3749" s="4" t="s">
        <v>11513</v>
      </c>
      <c r="J3749" s="4" t="s">
        <v>11514</v>
      </c>
      <c r="K3749" s="4" t="s">
        <v>11543</v>
      </c>
      <c r="L3749" s="5">
        <v>56334</v>
      </c>
    </row>
    <row r="3750" spans="1:12" x14ac:dyDescent="0.25">
      <c r="A3750" s="3" t="s">
        <v>10786</v>
      </c>
      <c r="B3750" s="4" t="s">
        <v>11510</v>
      </c>
      <c r="C3750" s="4" t="s">
        <v>25</v>
      </c>
      <c r="D3750" s="4" t="s">
        <v>26</v>
      </c>
      <c r="E3750" s="5" t="str">
        <f>"9190204"</f>
        <v>9190204</v>
      </c>
      <c r="F3750" s="3" t="s">
        <v>11932</v>
      </c>
      <c r="G3750" s="5">
        <v>2394023908</v>
      </c>
      <c r="H3750" s="4" t="s">
        <v>11933</v>
      </c>
      <c r="I3750" s="4" t="s">
        <v>11682</v>
      </c>
      <c r="J3750" s="4" t="s">
        <v>11682</v>
      </c>
      <c r="K3750" s="4" t="s">
        <v>11934</v>
      </c>
      <c r="L3750" s="5">
        <v>57200</v>
      </c>
    </row>
    <row r="3751" spans="1:12" x14ac:dyDescent="0.25">
      <c r="A3751" s="3" t="s">
        <v>10786</v>
      </c>
      <c r="B3751" s="4" t="s">
        <v>11510</v>
      </c>
      <c r="C3751" s="4" t="s">
        <v>14</v>
      </c>
      <c r="D3751" s="4" t="s">
        <v>15</v>
      </c>
      <c r="E3751" s="5" t="str">
        <f>"9190508"</f>
        <v>9190508</v>
      </c>
      <c r="F3751" s="3" t="s">
        <v>11935</v>
      </c>
      <c r="G3751" s="5">
        <v>2310624600</v>
      </c>
      <c r="H3751" s="4" t="s">
        <v>11936</v>
      </c>
      <c r="I3751" s="4" t="s">
        <v>11651</v>
      </c>
      <c r="J3751" s="4" t="s">
        <v>11937</v>
      </c>
      <c r="K3751" s="4" t="s">
        <v>11938</v>
      </c>
      <c r="L3751" s="5">
        <v>56728</v>
      </c>
    </row>
    <row r="3752" spans="1:12" x14ac:dyDescent="0.25">
      <c r="A3752" s="3" t="s">
        <v>10786</v>
      </c>
      <c r="B3752" s="4" t="s">
        <v>11510</v>
      </c>
      <c r="C3752" s="4" t="s">
        <v>14</v>
      </c>
      <c r="D3752" s="4" t="s">
        <v>15</v>
      </c>
      <c r="E3752" s="5" t="str">
        <f>"9190905"</f>
        <v>9190905</v>
      </c>
      <c r="F3752" s="3" t="s">
        <v>11939</v>
      </c>
      <c r="G3752" s="5">
        <v>2310752850</v>
      </c>
      <c r="H3752" s="4" t="s">
        <v>11940</v>
      </c>
      <c r="I3752" s="4" t="s">
        <v>11640</v>
      </c>
      <c r="J3752" s="4" t="s">
        <v>11941</v>
      </c>
      <c r="K3752" s="4" t="s">
        <v>11942</v>
      </c>
      <c r="L3752" s="5">
        <v>57009</v>
      </c>
    </row>
    <row r="3753" spans="1:12" x14ac:dyDescent="0.25">
      <c r="A3753" s="3" t="s">
        <v>10786</v>
      </c>
      <c r="B3753" s="4" t="s">
        <v>11510</v>
      </c>
      <c r="C3753" s="4" t="s">
        <v>14</v>
      </c>
      <c r="D3753" s="4" t="s">
        <v>15</v>
      </c>
      <c r="E3753" s="5" t="str">
        <f>"9190121"</f>
        <v>9190121</v>
      </c>
      <c r="F3753" s="3" t="s">
        <v>11943</v>
      </c>
      <c r="G3753" s="5">
        <v>2310732558</v>
      </c>
      <c r="H3753" s="4" t="s">
        <v>11944</v>
      </c>
      <c r="I3753" s="4" t="s">
        <v>11616</v>
      </c>
      <c r="J3753" s="4" t="s">
        <v>11758</v>
      </c>
      <c r="K3753" s="4" t="s">
        <v>11945</v>
      </c>
      <c r="L3753" s="5">
        <v>56121</v>
      </c>
    </row>
    <row r="3754" spans="1:12" x14ac:dyDescent="0.25">
      <c r="A3754" s="3" t="s">
        <v>10786</v>
      </c>
      <c r="B3754" s="4" t="s">
        <v>11510</v>
      </c>
      <c r="C3754" s="4" t="s">
        <v>14</v>
      </c>
      <c r="D3754" s="4" t="s">
        <v>15</v>
      </c>
      <c r="E3754" s="5" t="str">
        <f>"9190129"</f>
        <v>9190129</v>
      </c>
      <c r="F3754" s="3" t="s">
        <v>11946</v>
      </c>
      <c r="G3754" s="5">
        <v>2310767281</v>
      </c>
      <c r="H3754" s="4" t="s">
        <v>11947</v>
      </c>
      <c r="I3754" s="4" t="s">
        <v>11513</v>
      </c>
      <c r="J3754" s="4" t="s">
        <v>11557</v>
      </c>
      <c r="K3754" s="4" t="s">
        <v>11948</v>
      </c>
      <c r="L3754" s="5">
        <v>56224</v>
      </c>
    </row>
    <row r="3755" spans="1:12" x14ac:dyDescent="0.25">
      <c r="A3755" s="3" t="s">
        <v>10786</v>
      </c>
      <c r="B3755" s="4" t="s">
        <v>11510</v>
      </c>
      <c r="C3755" s="4" t="s">
        <v>14</v>
      </c>
      <c r="D3755" s="4" t="s">
        <v>15</v>
      </c>
      <c r="E3755" s="5" t="str">
        <f>"9190203"</f>
        <v>9190203</v>
      </c>
      <c r="F3755" s="3" t="s">
        <v>11949</v>
      </c>
      <c r="G3755" s="5">
        <v>2394022515</v>
      </c>
      <c r="H3755" s="4" t="s">
        <v>11950</v>
      </c>
      <c r="I3755" s="4" t="s">
        <v>11682</v>
      </c>
      <c r="J3755" s="4" t="s">
        <v>11951</v>
      </c>
      <c r="K3755" s="4" t="s">
        <v>11952</v>
      </c>
      <c r="L3755" s="5">
        <v>57200</v>
      </c>
    </row>
    <row r="3756" spans="1:12" x14ac:dyDescent="0.25">
      <c r="A3756" s="3" t="s">
        <v>10786</v>
      </c>
      <c r="B3756" s="4" t="s">
        <v>11510</v>
      </c>
      <c r="C3756" s="4" t="s">
        <v>25</v>
      </c>
      <c r="D3756" s="4" t="s">
        <v>26</v>
      </c>
      <c r="E3756" s="5" t="str">
        <f>"9190122"</f>
        <v>9190122</v>
      </c>
      <c r="F3756" s="3" t="s">
        <v>11953</v>
      </c>
      <c r="G3756" s="5">
        <v>2310765269</v>
      </c>
      <c r="H3756" s="4" t="s">
        <v>11954</v>
      </c>
      <c r="I3756" s="4" t="s">
        <v>11616</v>
      </c>
      <c r="J3756" s="4" t="s">
        <v>11955</v>
      </c>
      <c r="K3756" s="4" t="s">
        <v>11956</v>
      </c>
      <c r="L3756" s="5">
        <v>54628</v>
      </c>
    </row>
    <row r="3757" spans="1:12" x14ac:dyDescent="0.25">
      <c r="A3757" s="3" t="s">
        <v>10786</v>
      </c>
      <c r="B3757" s="4" t="s">
        <v>11510</v>
      </c>
      <c r="C3757" s="4" t="s">
        <v>25</v>
      </c>
      <c r="D3757" s="4" t="s">
        <v>26</v>
      </c>
      <c r="E3757" s="5" t="str">
        <f>"9190683"</f>
        <v>9190683</v>
      </c>
      <c r="F3757" s="3" t="s">
        <v>11957</v>
      </c>
      <c r="G3757" s="5">
        <v>2310738401</v>
      </c>
      <c r="H3757" s="4" t="s">
        <v>11958</v>
      </c>
      <c r="I3757" s="4" t="s">
        <v>11616</v>
      </c>
      <c r="J3757" s="4" t="s">
        <v>11955</v>
      </c>
      <c r="K3757" s="4" t="s">
        <v>11959</v>
      </c>
      <c r="L3757" s="5">
        <v>56122</v>
      </c>
    </row>
    <row r="3758" spans="1:12" x14ac:dyDescent="0.25">
      <c r="A3758" s="3" t="s">
        <v>10786</v>
      </c>
      <c r="B3758" s="4" t="s">
        <v>11510</v>
      </c>
      <c r="C3758" s="4" t="s">
        <v>14</v>
      </c>
      <c r="D3758" s="4" t="s">
        <v>179</v>
      </c>
      <c r="E3758" s="5" t="str">
        <f>"9190246"</f>
        <v>9190246</v>
      </c>
      <c r="F3758" s="3" t="s">
        <v>11960</v>
      </c>
      <c r="G3758" s="5">
        <v>2394093203</v>
      </c>
      <c r="H3758" s="4" t="s">
        <v>11961</v>
      </c>
      <c r="I3758" s="4" t="s">
        <v>11682</v>
      </c>
      <c r="J3758" s="4" t="s">
        <v>11962</v>
      </c>
      <c r="K3758" s="4" t="s">
        <v>11962</v>
      </c>
      <c r="L3758" s="5">
        <v>57017</v>
      </c>
    </row>
    <row r="3759" spans="1:12" x14ac:dyDescent="0.25">
      <c r="A3759" s="3" t="s">
        <v>10786</v>
      </c>
      <c r="B3759" s="4" t="s">
        <v>11510</v>
      </c>
      <c r="C3759" s="4" t="s">
        <v>14</v>
      </c>
      <c r="D3759" s="4" t="s">
        <v>15</v>
      </c>
      <c r="E3759" s="5" t="str">
        <f>"9520912"</f>
        <v>9520912</v>
      </c>
      <c r="F3759" s="3" t="s">
        <v>11963</v>
      </c>
      <c r="G3759" s="5">
        <v>2310653110</v>
      </c>
      <c r="H3759" s="4" t="s">
        <v>11964</v>
      </c>
      <c r="I3759" s="4" t="s">
        <v>11564</v>
      </c>
      <c r="J3759" s="4" t="s">
        <v>11731</v>
      </c>
      <c r="K3759" s="4" t="s">
        <v>11965</v>
      </c>
      <c r="L3759" s="5">
        <v>56429</v>
      </c>
    </row>
    <row r="3760" spans="1:12" x14ac:dyDescent="0.25">
      <c r="A3760" s="3" t="s">
        <v>10786</v>
      </c>
      <c r="B3760" s="4" t="s">
        <v>11510</v>
      </c>
      <c r="C3760" s="4" t="s">
        <v>14</v>
      </c>
      <c r="D3760" s="4" t="s">
        <v>15</v>
      </c>
      <c r="E3760" s="5" t="str">
        <f>"9190199"</f>
        <v>9190199</v>
      </c>
      <c r="F3760" s="3" t="s">
        <v>11966</v>
      </c>
      <c r="G3760" s="5">
        <v>2394031127</v>
      </c>
      <c r="H3760" s="4" t="s">
        <v>11967</v>
      </c>
      <c r="I3760" s="4" t="s">
        <v>11635</v>
      </c>
      <c r="J3760" s="4" t="s">
        <v>11808</v>
      </c>
      <c r="K3760" s="4" t="s">
        <v>11808</v>
      </c>
      <c r="L3760" s="5">
        <v>57200</v>
      </c>
    </row>
    <row r="3761" spans="1:12" x14ac:dyDescent="0.25">
      <c r="A3761" s="3" t="s">
        <v>10786</v>
      </c>
      <c r="B3761" s="4" t="s">
        <v>11510</v>
      </c>
      <c r="C3761" s="4" t="s">
        <v>25</v>
      </c>
      <c r="D3761" s="4" t="s">
        <v>26</v>
      </c>
      <c r="E3761" s="5" t="str">
        <f>"9190736"</f>
        <v>9190736</v>
      </c>
      <c r="F3761" s="3" t="s">
        <v>11968</v>
      </c>
      <c r="G3761" s="5">
        <v>2310742265</v>
      </c>
      <c r="H3761" s="4" t="s">
        <v>11969</v>
      </c>
      <c r="I3761" s="4" t="s">
        <v>11616</v>
      </c>
      <c r="J3761" s="4" t="s">
        <v>11955</v>
      </c>
      <c r="K3761" s="4" t="s">
        <v>11970</v>
      </c>
      <c r="L3761" s="5">
        <v>56122</v>
      </c>
    </row>
    <row r="3762" spans="1:12" x14ac:dyDescent="0.25">
      <c r="A3762" s="3" t="s">
        <v>10786</v>
      </c>
      <c r="B3762" s="4" t="s">
        <v>11510</v>
      </c>
      <c r="C3762" s="4" t="s">
        <v>14</v>
      </c>
      <c r="D3762" s="4" t="s">
        <v>15</v>
      </c>
      <c r="E3762" s="5" t="str">
        <f>"9190388"</f>
        <v>9190388</v>
      </c>
      <c r="F3762" s="3" t="s">
        <v>11971</v>
      </c>
      <c r="G3762" s="5">
        <v>2393021112</v>
      </c>
      <c r="H3762" s="4" t="s">
        <v>11972</v>
      </c>
      <c r="I3762" s="4" t="s">
        <v>11682</v>
      </c>
      <c r="J3762" s="4" t="s">
        <v>11973</v>
      </c>
      <c r="K3762" s="4" t="s">
        <v>11974</v>
      </c>
      <c r="L3762" s="5">
        <v>57012</v>
      </c>
    </row>
    <row r="3763" spans="1:12" x14ac:dyDescent="0.25">
      <c r="A3763" s="3" t="s">
        <v>10786</v>
      </c>
      <c r="B3763" s="4" t="s">
        <v>11510</v>
      </c>
      <c r="C3763" s="4" t="s">
        <v>14</v>
      </c>
      <c r="D3763" s="4" t="s">
        <v>15</v>
      </c>
      <c r="E3763" s="5" t="str">
        <f>"9190215"</f>
        <v>9190215</v>
      </c>
      <c r="F3763" s="3" t="s">
        <v>11975</v>
      </c>
      <c r="G3763" s="5">
        <v>2395041313</v>
      </c>
      <c r="H3763" s="4" t="s">
        <v>11976</v>
      </c>
      <c r="I3763" s="4" t="s">
        <v>11687</v>
      </c>
      <c r="J3763" s="4" t="s">
        <v>11977</v>
      </c>
      <c r="K3763" s="4" t="s">
        <v>11977</v>
      </c>
      <c r="L3763" s="5">
        <v>57021</v>
      </c>
    </row>
    <row r="3764" spans="1:12" x14ac:dyDescent="0.25">
      <c r="A3764" s="3" t="s">
        <v>10786</v>
      </c>
      <c r="B3764" s="4" t="s">
        <v>11510</v>
      </c>
      <c r="C3764" s="4" t="s">
        <v>25</v>
      </c>
      <c r="D3764" s="4" t="s">
        <v>26</v>
      </c>
      <c r="E3764" s="5" t="str">
        <f>"9190559"</f>
        <v>9190559</v>
      </c>
      <c r="F3764" s="3" t="s">
        <v>11978</v>
      </c>
      <c r="G3764" s="5">
        <v>2310696828</v>
      </c>
      <c r="H3764" s="4" t="s">
        <v>11979</v>
      </c>
      <c r="I3764" s="4" t="s">
        <v>11635</v>
      </c>
      <c r="J3764" s="4" t="s">
        <v>11980</v>
      </c>
      <c r="K3764" s="4" t="s">
        <v>11981</v>
      </c>
      <c r="L3764" s="5">
        <v>57013</v>
      </c>
    </row>
    <row r="3765" spans="1:12" x14ac:dyDescent="0.25">
      <c r="A3765" s="3" t="s">
        <v>10786</v>
      </c>
      <c r="B3765" s="4" t="s">
        <v>11510</v>
      </c>
      <c r="C3765" s="4" t="s">
        <v>14</v>
      </c>
      <c r="D3765" s="4" t="s">
        <v>15</v>
      </c>
      <c r="E3765" s="5" t="str">
        <f>"9190919"</f>
        <v>9190919</v>
      </c>
      <c r="F3765" s="3" t="s">
        <v>11982</v>
      </c>
      <c r="G3765" s="5">
        <v>2310796830</v>
      </c>
      <c r="H3765" s="4" t="s">
        <v>11983</v>
      </c>
      <c r="I3765" s="4" t="s">
        <v>11640</v>
      </c>
      <c r="J3765" s="4" t="s">
        <v>11641</v>
      </c>
      <c r="K3765" s="4" t="s">
        <v>11984</v>
      </c>
      <c r="L3765" s="5">
        <v>57400</v>
      </c>
    </row>
    <row r="3766" spans="1:12" x14ac:dyDescent="0.25">
      <c r="A3766" s="3" t="s">
        <v>10786</v>
      </c>
      <c r="B3766" s="4" t="s">
        <v>11510</v>
      </c>
      <c r="C3766" s="4" t="s">
        <v>14</v>
      </c>
      <c r="D3766" s="4" t="s">
        <v>15</v>
      </c>
      <c r="E3766" s="5" t="str">
        <f>"9190359"</f>
        <v>9190359</v>
      </c>
      <c r="F3766" s="3" t="s">
        <v>11985</v>
      </c>
      <c r="G3766" s="5">
        <v>2394071765</v>
      </c>
      <c r="H3766" s="4" t="s">
        <v>11986</v>
      </c>
      <c r="I3766" s="4" t="s">
        <v>11682</v>
      </c>
      <c r="J3766" s="4"/>
      <c r="K3766" s="4" t="s">
        <v>11987</v>
      </c>
      <c r="L3766" s="5">
        <v>57200</v>
      </c>
    </row>
    <row r="3767" spans="1:12" x14ac:dyDescent="0.25">
      <c r="A3767" s="3" t="s">
        <v>10786</v>
      </c>
      <c r="B3767" s="4" t="s">
        <v>11510</v>
      </c>
      <c r="C3767" s="4" t="s">
        <v>14</v>
      </c>
      <c r="D3767" s="4" t="s">
        <v>15</v>
      </c>
      <c r="E3767" s="5" t="str">
        <f>"9190296"</f>
        <v>9190296</v>
      </c>
      <c r="F3767" s="3" t="s">
        <v>11988</v>
      </c>
      <c r="G3767" s="5">
        <v>2310701303</v>
      </c>
      <c r="H3767" s="4" t="s">
        <v>11989</v>
      </c>
      <c r="I3767" s="4" t="s">
        <v>11575</v>
      </c>
      <c r="J3767" s="4" t="s">
        <v>11990</v>
      </c>
      <c r="K3767" s="4" t="s">
        <v>11991</v>
      </c>
      <c r="L3767" s="5">
        <v>57003</v>
      </c>
    </row>
    <row r="3768" spans="1:12" x14ac:dyDescent="0.25">
      <c r="A3768" s="3" t="s">
        <v>10786</v>
      </c>
      <c r="B3768" s="4" t="s">
        <v>11510</v>
      </c>
      <c r="C3768" s="4" t="s">
        <v>14</v>
      </c>
      <c r="D3768" s="4" t="s">
        <v>15</v>
      </c>
      <c r="E3768" s="5" t="str">
        <f>"9190079"</f>
        <v>9190079</v>
      </c>
      <c r="F3768" s="3" t="s">
        <v>11992</v>
      </c>
      <c r="G3768" s="5">
        <v>2310650105</v>
      </c>
      <c r="H3768" s="4" t="s">
        <v>11993</v>
      </c>
      <c r="I3768" s="4" t="s">
        <v>11564</v>
      </c>
      <c r="J3768" s="4" t="s">
        <v>11666</v>
      </c>
      <c r="K3768" s="4" t="s">
        <v>11572</v>
      </c>
      <c r="L3768" s="5">
        <v>56431</v>
      </c>
    </row>
    <row r="3769" spans="1:12" x14ac:dyDescent="0.25">
      <c r="A3769" s="3" t="s">
        <v>10786</v>
      </c>
      <c r="B3769" s="4" t="s">
        <v>11510</v>
      </c>
      <c r="C3769" s="4" t="s">
        <v>14</v>
      </c>
      <c r="D3769" s="4" t="s">
        <v>15</v>
      </c>
      <c r="E3769" s="5" t="str">
        <f>"9190804"</f>
        <v>9190804</v>
      </c>
      <c r="F3769" s="3" t="s">
        <v>11994</v>
      </c>
      <c r="G3769" s="5">
        <v>2310766086</v>
      </c>
      <c r="H3769" s="4" t="s">
        <v>11995</v>
      </c>
      <c r="I3769" s="4" t="s">
        <v>11513</v>
      </c>
      <c r="J3769" s="4" t="s">
        <v>11735</v>
      </c>
      <c r="K3769" s="4" t="s">
        <v>11996</v>
      </c>
      <c r="L3769" s="5">
        <v>56334</v>
      </c>
    </row>
    <row r="3770" spans="1:12" x14ac:dyDescent="0.25">
      <c r="A3770" s="3" t="s">
        <v>10786</v>
      </c>
      <c r="B3770" s="4" t="s">
        <v>11510</v>
      </c>
      <c r="C3770" s="4" t="s">
        <v>25</v>
      </c>
      <c r="D3770" s="4" t="s">
        <v>26</v>
      </c>
      <c r="E3770" s="5" t="str">
        <f>"9190097"</f>
        <v>9190097</v>
      </c>
      <c r="F3770" s="3" t="s">
        <v>11997</v>
      </c>
      <c r="G3770" s="5">
        <v>2310609520</v>
      </c>
      <c r="H3770" s="4" t="s">
        <v>11998</v>
      </c>
      <c r="I3770" s="4" t="s">
        <v>11564</v>
      </c>
      <c r="J3770" s="4" t="s">
        <v>11656</v>
      </c>
      <c r="K3770" s="4" t="s">
        <v>11999</v>
      </c>
      <c r="L3770" s="5">
        <v>56533</v>
      </c>
    </row>
    <row r="3771" spans="1:12" x14ac:dyDescent="0.25">
      <c r="A3771" s="3" t="s">
        <v>10786</v>
      </c>
      <c r="B3771" s="4" t="s">
        <v>11510</v>
      </c>
      <c r="C3771" s="4" t="s">
        <v>14</v>
      </c>
      <c r="D3771" s="4" t="s">
        <v>15</v>
      </c>
      <c r="E3771" s="5" t="str">
        <f>"9190074"</f>
        <v>9190074</v>
      </c>
      <c r="F3771" s="3" t="s">
        <v>12000</v>
      </c>
      <c r="G3771" s="5">
        <v>2310650852</v>
      </c>
      <c r="H3771" s="4" t="s">
        <v>12001</v>
      </c>
      <c r="I3771" s="4" t="s">
        <v>11564</v>
      </c>
      <c r="J3771" s="4" t="s">
        <v>12002</v>
      </c>
      <c r="K3771" s="4" t="s">
        <v>12003</v>
      </c>
      <c r="L3771" s="5">
        <v>56431</v>
      </c>
    </row>
    <row r="3772" spans="1:12" x14ac:dyDescent="0.25">
      <c r="A3772" s="3" t="s">
        <v>10786</v>
      </c>
      <c r="B3772" s="4" t="s">
        <v>11510</v>
      </c>
      <c r="C3772" s="4" t="s">
        <v>25</v>
      </c>
      <c r="D3772" s="4" t="s">
        <v>26</v>
      </c>
      <c r="E3772" s="5" t="str">
        <f>"9190801"</f>
        <v>9190801</v>
      </c>
      <c r="F3772" s="3" t="s">
        <v>12004</v>
      </c>
      <c r="G3772" s="5">
        <v>2394031363</v>
      </c>
      <c r="H3772" s="4" t="s">
        <v>12005</v>
      </c>
      <c r="I3772" s="4" t="s">
        <v>11635</v>
      </c>
      <c r="J3772" s="4" t="s">
        <v>12006</v>
      </c>
      <c r="K3772" s="4" t="s">
        <v>12007</v>
      </c>
      <c r="L3772" s="5">
        <v>57018</v>
      </c>
    </row>
    <row r="3773" spans="1:12" x14ac:dyDescent="0.25">
      <c r="A3773" s="3" t="s">
        <v>10786</v>
      </c>
      <c r="B3773" s="4" t="s">
        <v>11510</v>
      </c>
      <c r="C3773" s="4" t="s">
        <v>14</v>
      </c>
      <c r="D3773" s="4" t="s">
        <v>15</v>
      </c>
      <c r="E3773" s="5" t="str">
        <f>"9190164"</f>
        <v>9190164</v>
      </c>
      <c r="F3773" s="3" t="s">
        <v>12008</v>
      </c>
      <c r="G3773" s="5">
        <v>2310610845</v>
      </c>
      <c r="H3773" s="4" t="s">
        <v>12009</v>
      </c>
      <c r="I3773" s="4" t="s">
        <v>11651</v>
      </c>
      <c r="J3773" s="4" t="s">
        <v>11873</v>
      </c>
      <c r="K3773" s="4" t="s">
        <v>12010</v>
      </c>
      <c r="L3773" s="5">
        <v>56625</v>
      </c>
    </row>
    <row r="3774" spans="1:12" x14ac:dyDescent="0.25">
      <c r="A3774" s="3" t="s">
        <v>10786</v>
      </c>
      <c r="B3774" s="4" t="s">
        <v>11510</v>
      </c>
      <c r="C3774" s="4" t="s">
        <v>14</v>
      </c>
      <c r="D3774" s="4" t="s">
        <v>15</v>
      </c>
      <c r="E3774" s="5" t="str">
        <f>"9190128"</f>
        <v>9190128</v>
      </c>
      <c r="F3774" s="3" t="s">
        <v>12011</v>
      </c>
      <c r="G3774" s="5">
        <v>2310763344</v>
      </c>
      <c r="H3774" s="4" t="s">
        <v>12012</v>
      </c>
      <c r="I3774" s="4" t="s">
        <v>11513</v>
      </c>
      <c r="J3774" s="4" t="s">
        <v>11557</v>
      </c>
      <c r="K3774" s="4" t="s">
        <v>12013</v>
      </c>
      <c r="L3774" s="5">
        <v>56224</v>
      </c>
    </row>
    <row r="3775" spans="1:12" x14ac:dyDescent="0.25">
      <c r="A3775" s="3" t="s">
        <v>10786</v>
      </c>
      <c r="B3775" s="4" t="s">
        <v>11510</v>
      </c>
      <c r="C3775" s="4" t="s">
        <v>14</v>
      </c>
      <c r="D3775" s="4" t="s">
        <v>15</v>
      </c>
      <c r="E3775" s="5" t="str">
        <f>"9520671"</f>
        <v>9520671</v>
      </c>
      <c r="F3775" s="3" t="s">
        <v>12014</v>
      </c>
      <c r="G3775" s="5">
        <v>2310740221</v>
      </c>
      <c r="H3775" s="4" t="s">
        <v>12015</v>
      </c>
      <c r="I3775" s="4" t="s">
        <v>11616</v>
      </c>
      <c r="J3775" s="4" t="s">
        <v>11672</v>
      </c>
      <c r="K3775" s="4" t="s">
        <v>12016</v>
      </c>
      <c r="L3775" s="5">
        <v>54628</v>
      </c>
    </row>
    <row r="3776" spans="1:12" x14ac:dyDescent="0.25">
      <c r="A3776" s="3" t="s">
        <v>10786</v>
      </c>
      <c r="B3776" s="4" t="s">
        <v>11510</v>
      </c>
      <c r="C3776" s="4" t="s">
        <v>14</v>
      </c>
      <c r="D3776" s="4" t="s">
        <v>15</v>
      </c>
      <c r="E3776" s="5" t="str">
        <f>"9190153"</f>
        <v>9190153</v>
      </c>
      <c r="F3776" s="3" t="s">
        <v>12017</v>
      </c>
      <c r="G3776" s="5">
        <v>2310732912</v>
      </c>
      <c r="H3776" s="4" t="s">
        <v>12018</v>
      </c>
      <c r="I3776" s="4" t="s">
        <v>11616</v>
      </c>
      <c r="J3776" s="4" t="s">
        <v>11672</v>
      </c>
      <c r="K3776" s="4" t="s">
        <v>12019</v>
      </c>
      <c r="L3776" s="5">
        <v>56122</v>
      </c>
    </row>
    <row r="3777" spans="1:12" x14ac:dyDescent="0.25">
      <c r="A3777" s="3" t="s">
        <v>10786</v>
      </c>
      <c r="B3777" s="4" t="s">
        <v>11510</v>
      </c>
      <c r="C3777" s="4" t="s">
        <v>14</v>
      </c>
      <c r="D3777" s="4" t="s">
        <v>15</v>
      </c>
      <c r="E3777" s="5" t="str">
        <f>"9190400"</f>
        <v>9190400</v>
      </c>
      <c r="F3777" s="3" t="s">
        <v>12020</v>
      </c>
      <c r="G3777" s="5">
        <v>2397041578</v>
      </c>
      <c r="H3777" s="4" t="s">
        <v>12021</v>
      </c>
      <c r="I3777" s="4" t="s">
        <v>11687</v>
      </c>
      <c r="J3777" s="4" t="s">
        <v>12022</v>
      </c>
      <c r="K3777" s="4" t="s">
        <v>12022</v>
      </c>
      <c r="L3777" s="5">
        <v>57014</v>
      </c>
    </row>
    <row r="3778" spans="1:12" x14ac:dyDescent="0.25">
      <c r="A3778" s="3" t="s">
        <v>10786</v>
      </c>
      <c r="B3778" s="4" t="s">
        <v>11510</v>
      </c>
      <c r="C3778" s="4" t="s">
        <v>14</v>
      </c>
      <c r="D3778" s="4" t="s">
        <v>15</v>
      </c>
      <c r="E3778" s="5" t="str">
        <f>"9190221"</f>
        <v>9190221</v>
      </c>
      <c r="F3778" s="3" t="s">
        <v>12023</v>
      </c>
      <c r="G3778" s="5">
        <v>2394061266</v>
      </c>
      <c r="H3778" s="4" t="s">
        <v>12024</v>
      </c>
      <c r="I3778" s="4" t="s">
        <v>11682</v>
      </c>
      <c r="J3778" s="4" t="s">
        <v>11881</v>
      </c>
      <c r="K3778" s="4" t="s">
        <v>12025</v>
      </c>
      <c r="L3778" s="5">
        <v>57200</v>
      </c>
    </row>
    <row r="3779" spans="1:12" x14ac:dyDescent="0.25">
      <c r="A3779" s="3" t="s">
        <v>10786</v>
      </c>
      <c r="B3779" s="4" t="s">
        <v>11510</v>
      </c>
      <c r="C3779" s="4" t="s">
        <v>14</v>
      </c>
      <c r="D3779" s="4" t="s">
        <v>15</v>
      </c>
      <c r="E3779" s="5" t="str">
        <f>"9190250"</f>
        <v>9190250</v>
      </c>
      <c r="F3779" s="3" t="s">
        <v>12026</v>
      </c>
      <c r="G3779" s="5">
        <v>2394022747</v>
      </c>
      <c r="H3779" s="4" t="s">
        <v>12027</v>
      </c>
      <c r="I3779" s="4" t="s">
        <v>11682</v>
      </c>
      <c r="J3779" s="4" t="s">
        <v>11725</v>
      </c>
      <c r="K3779" s="4" t="s">
        <v>11725</v>
      </c>
      <c r="L3779" s="5">
        <v>57200</v>
      </c>
    </row>
    <row r="3780" spans="1:12" x14ac:dyDescent="0.25">
      <c r="A3780" s="3" t="s">
        <v>10786</v>
      </c>
      <c r="B3780" s="4" t="s">
        <v>11510</v>
      </c>
      <c r="C3780" s="4" t="s">
        <v>14</v>
      </c>
      <c r="D3780" s="4" t="s">
        <v>15</v>
      </c>
      <c r="E3780" s="5" t="str">
        <f>"9190662"</f>
        <v>9190662</v>
      </c>
      <c r="F3780" s="3" t="s">
        <v>12028</v>
      </c>
      <c r="G3780" s="5">
        <v>2397022940</v>
      </c>
      <c r="H3780" s="4" t="s">
        <v>12029</v>
      </c>
      <c r="I3780" s="4" t="s">
        <v>11687</v>
      </c>
      <c r="J3780" s="4" t="s">
        <v>11888</v>
      </c>
      <c r="K3780" s="4" t="s">
        <v>12030</v>
      </c>
      <c r="L3780" s="5">
        <v>57021</v>
      </c>
    </row>
    <row r="3781" spans="1:12" x14ac:dyDescent="0.25">
      <c r="A3781" s="3" t="s">
        <v>10786</v>
      </c>
      <c r="B3781" s="4" t="s">
        <v>11510</v>
      </c>
      <c r="C3781" s="4" t="s">
        <v>14</v>
      </c>
      <c r="D3781" s="4" t="s">
        <v>15</v>
      </c>
      <c r="E3781" s="5" t="str">
        <f>"9190408"</f>
        <v>9190408</v>
      </c>
      <c r="F3781" s="3" t="s">
        <v>12031</v>
      </c>
      <c r="G3781" s="5">
        <v>2397061339</v>
      </c>
      <c r="H3781" s="4" t="s">
        <v>12032</v>
      </c>
      <c r="I3781" s="4" t="s">
        <v>11687</v>
      </c>
      <c r="J3781" s="4" t="s">
        <v>12033</v>
      </c>
      <c r="K3781" s="4" t="s">
        <v>12034</v>
      </c>
      <c r="L3781" s="5">
        <v>57014</v>
      </c>
    </row>
    <row r="3782" spans="1:12" x14ac:dyDescent="0.25">
      <c r="A3782" s="3" t="s">
        <v>10786</v>
      </c>
      <c r="B3782" s="4" t="s">
        <v>11510</v>
      </c>
      <c r="C3782" s="4" t="s">
        <v>14</v>
      </c>
      <c r="D3782" s="4" t="s">
        <v>15</v>
      </c>
      <c r="E3782" s="5" t="str">
        <f>"9190263"</f>
        <v>9190263</v>
      </c>
      <c r="F3782" s="3" t="s">
        <v>12035</v>
      </c>
      <c r="G3782" s="5">
        <v>2394022619</v>
      </c>
      <c r="H3782" s="4" t="s">
        <v>12036</v>
      </c>
      <c r="I3782" s="4" t="s">
        <v>11682</v>
      </c>
      <c r="J3782" s="4" t="s">
        <v>12037</v>
      </c>
      <c r="K3782" s="4" t="s">
        <v>12038</v>
      </c>
      <c r="L3782" s="5">
        <v>57200</v>
      </c>
    </row>
    <row r="3783" spans="1:12" x14ac:dyDescent="0.25">
      <c r="A3783" s="3" t="s">
        <v>10786</v>
      </c>
      <c r="B3783" s="4" t="s">
        <v>11510</v>
      </c>
      <c r="C3783" s="4" t="s">
        <v>14</v>
      </c>
      <c r="D3783" s="4" t="s">
        <v>15</v>
      </c>
      <c r="E3783" s="5" t="str">
        <f>"9190201"</f>
        <v>9190201</v>
      </c>
      <c r="F3783" s="3" t="s">
        <v>12039</v>
      </c>
      <c r="G3783" s="5">
        <v>2394071226</v>
      </c>
      <c r="H3783" s="4" t="s">
        <v>12040</v>
      </c>
      <c r="I3783" s="4" t="s">
        <v>11635</v>
      </c>
      <c r="J3783" s="4" t="s">
        <v>12041</v>
      </c>
      <c r="K3783" s="4" t="s">
        <v>12042</v>
      </c>
      <c r="L3783" s="5">
        <v>57200</v>
      </c>
    </row>
    <row r="3784" spans="1:12" x14ac:dyDescent="0.25">
      <c r="A3784" s="3" t="s">
        <v>10786</v>
      </c>
      <c r="B3784" s="4" t="s">
        <v>11510</v>
      </c>
      <c r="C3784" s="4" t="s">
        <v>14</v>
      </c>
      <c r="D3784" s="4" t="s">
        <v>15</v>
      </c>
      <c r="E3784" s="5" t="str">
        <f>"9190312"</f>
        <v>9190312</v>
      </c>
      <c r="F3784" s="3" t="s">
        <v>12043</v>
      </c>
      <c r="G3784" s="5">
        <v>2310781212</v>
      </c>
      <c r="H3784" s="4" t="s">
        <v>12044</v>
      </c>
      <c r="I3784" s="4" t="s">
        <v>11640</v>
      </c>
      <c r="J3784" s="4" t="s">
        <v>12045</v>
      </c>
      <c r="K3784" s="4" t="s">
        <v>12046</v>
      </c>
      <c r="L3784" s="5">
        <v>57008</v>
      </c>
    </row>
    <row r="3785" spans="1:12" x14ac:dyDescent="0.25">
      <c r="A3785" s="3" t="s">
        <v>10786</v>
      </c>
      <c r="B3785" s="4" t="s">
        <v>11510</v>
      </c>
      <c r="C3785" s="4" t="s">
        <v>14</v>
      </c>
      <c r="D3785" s="4" t="s">
        <v>15</v>
      </c>
      <c r="E3785" s="5" t="str">
        <f>"9190207"</f>
        <v>9190207</v>
      </c>
      <c r="F3785" s="3" t="s">
        <v>12047</v>
      </c>
      <c r="G3785" s="5">
        <v>2394025389</v>
      </c>
      <c r="H3785" s="4" t="s">
        <v>12048</v>
      </c>
      <c r="I3785" s="4" t="s">
        <v>11682</v>
      </c>
      <c r="J3785" s="4" t="s">
        <v>11951</v>
      </c>
      <c r="K3785" s="4" t="s">
        <v>11898</v>
      </c>
      <c r="L3785" s="5">
        <v>57200</v>
      </c>
    </row>
    <row r="3786" spans="1:12" x14ac:dyDescent="0.25">
      <c r="A3786" s="3" t="s">
        <v>10786</v>
      </c>
      <c r="B3786" s="4" t="s">
        <v>11510</v>
      </c>
      <c r="C3786" s="4" t="s">
        <v>14</v>
      </c>
      <c r="D3786" s="4" t="s">
        <v>15</v>
      </c>
      <c r="E3786" s="5" t="str">
        <f>"9190075"</f>
        <v>9190075</v>
      </c>
      <c r="F3786" s="3" t="s">
        <v>12049</v>
      </c>
      <c r="G3786" s="5">
        <v>2310650811</v>
      </c>
      <c r="H3786" s="4" t="s">
        <v>12050</v>
      </c>
      <c r="I3786" s="4" t="s">
        <v>11564</v>
      </c>
      <c r="J3786" s="4" t="s">
        <v>11666</v>
      </c>
      <c r="K3786" s="4" t="s">
        <v>12051</v>
      </c>
      <c r="L3786" s="5">
        <v>56431</v>
      </c>
    </row>
    <row r="3787" spans="1:12" x14ac:dyDescent="0.25">
      <c r="A3787" s="3" t="s">
        <v>10786</v>
      </c>
      <c r="B3787" s="4" t="s">
        <v>11510</v>
      </c>
      <c r="C3787" s="4" t="s">
        <v>14</v>
      </c>
      <c r="D3787" s="4" t="s">
        <v>15</v>
      </c>
      <c r="E3787" s="5" t="str">
        <f>"9190202"</f>
        <v>9190202</v>
      </c>
      <c r="F3787" s="3" t="s">
        <v>12052</v>
      </c>
      <c r="G3787" s="5">
        <v>2394031239</v>
      </c>
      <c r="H3787" s="4" t="s">
        <v>12053</v>
      </c>
      <c r="I3787" s="4" t="s">
        <v>11635</v>
      </c>
      <c r="J3787" s="4" t="s">
        <v>12006</v>
      </c>
      <c r="K3787" s="4" t="s">
        <v>12054</v>
      </c>
      <c r="L3787" s="5">
        <v>57018</v>
      </c>
    </row>
    <row r="3788" spans="1:12" x14ac:dyDescent="0.25">
      <c r="A3788" s="3" t="s">
        <v>10786</v>
      </c>
      <c r="B3788" s="4" t="s">
        <v>11510</v>
      </c>
      <c r="C3788" s="4" t="s">
        <v>14</v>
      </c>
      <c r="D3788" s="4" t="s">
        <v>15</v>
      </c>
      <c r="E3788" s="5" t="str">
        <f>"9190820"</f>
        <v>9190820</v>
      </c>
      <c r="F3788" s="3" t="s">
        <v>12055</v>
      </c>
      <c r="G3788" s="5">
        <v>2397061586</v>
      </c>
      <c r="H3788" s="4" t="s">
        <v>12056</v>
      </c>
      <c r="I3788" s="4" t="s">
        <v>11687</v>
      </c>
      <c r="J3788" s="4" t="s">
        <v>12057</v>
      </c>
      <c r="K3788" s="4" t="s">
        <v>12058</v>
      </c>
      <c r="L3788" s="5">
        <v>57014</v>
      </c>
    </row>
    <row r="3789" spans="1:12" x14ac:dyDescent="0.25">
      <c r="A3789" s="3" t="s">
        <v>10786</v>
      </c>
      <c r="B3789" s="4" t="s">
        <v>11510</v>
      </c>
      <c r="C3789" s="4" t="s">
        <v>14</v>
      </c>
      <c r="D3789" s="4" t="s">
        <v>15</v>
      </c>
      <c r="E3789" s="5" t="str">
        <f>"9190125"</f>
        <v>9190125</v>
      </c>
      <c r="F3789" s="3" t="s">
        <v>12059</v>
      </c>
      <c r="G3789" s="5">
        <v>2310763632</v>
      </c>
      <c r="H3789" s="4" t="s">
        <v>12060</v>
      </c>
      <c r="I3789" s="4" t="s">
        <v>11513</v>
      </c>
      <c r="J3789" s="4" t="s">
        <v>12061</v>
      </c>
      <c r="K3789" s="4" t="s">
        <v>12062</v>
      </c>
      <c r="L3789" s="5">
        <v>56334</v>
      </c>
    </row>
    <row r="3790" spans="1:12" x14ac:dyDescent="0.25">
      <c r="A3790" s="3" t="s">
        <v>10786</v>
      </c>
      <c r="B3790" s="4" t="s">
        <v>11510</v>
      </c>
      <c r="C3790" s="4" t="s">
        <v>25</v>
      </c>
      <c r="D3790" s="4" t="s">
        <v>26</v>
      </c>
      <c r="E3790" s="5" t="str">
        <f>"9190707"</f>
        <v>9190707</v>
      </c>
      <c r="F3790" s="3" t="s">
        <v>12063</v>
      </c>
      <c r="G3790" s="5">
        <v>2310673591</v>
      </c>
      <c r="H3790" s="4" t="s">
        <v>12064</v>
      </c>
      <c r="I3790" s="4" t="s">
        <v>11651</v>
      </c>
      <c r="J3790" s="4" t="s">
        <v>12065</v>
      </c>
      <c r="K3790" s="4" t="s">
        <v>12066</v>
      </c>
      <c r="L3790" s="5">
        <v>57010</v>
      </c>
    </row>
    <row r="3791" spans="1:12" x14ac:dyDescent="0.25">
      <c r="A3791" s="3" t="s">
        <v>10786</v>
      </c>
      <c r="B3791" s="4" t="s">
        <v>11510</v>
      </c>
      <c r="C3791" s="4" t="s">
        <v>25</v>
      </c>
      <c r="D3791" s="4" t="s">
        <v>26</v>
      </c>
      <c r="E3791" s="5" t="str">
        <f>"9520660"</f>
        <v>9520660</v>
      </c>
      <c r="F3791" s="3" t="s">
        <v>12067</v>
      </c>
      <c r="G3791" s="5">
        <v>2310674918</v>
      </c>
      <c r="H3791" s="4" t="s">
        <v>12068</v>
      </c>
      <c r="I3791" s="4" t="s">
        <v>11651</v>
      </c>
      <c r="J3791" s="4" t="s">
        <v>12065</v>
      </c>
      <c r="K3791" s="4" t="s">
        <v>12069</v>
      </c>
      <c r="L3791" s="5">
        <v>57010</v>
      </c>
    </row>
    <row r="3792" spans="1:12" x14ac:dyDescent="0.25">
      <c r="A3792" s="3" t="s">
        <v>10786</v>
      </c>
      <c r="B3792" s="4" t="s">
        <v>11510</v>
      </c>
      <c r="C3792" s="4" t="s">
        <v>25</v>
      </c>
      <c r="D3792" s="4" t="s">
        <v>26</v>
      </c>
      <c r="E3792" s="5" t="str">
        <f>"9190619"</f>
        <v>9190619</v>
      </c>
      <c r="F3792" s="3" t="s">
        <v>12070</v>
      </c>
      <c r="G3792" s="5">
        <v>2394024500</v>
      </c>
      <c r="H3792" s="4" t="s">
        <v>12071</v>
      </c>
      <c r="I3792" s="4" t="s">
        <v>11682</v>
      </c>
      <c r="J3792" s="4" t="s">
        <v>12072</v>
      </c>
      <c r="K3792" s="4" t="s">
        <v>12038</v>
      </c>
      <c r="L3792" s="5">
        <v>57200</v>
      </c>
    </row>
    <row r="3793" spans="1:12" x14ac:dyDescent="0.25">
      <c r="A3793" s="3" t="s">
        <v>10786</v>
      </c>
      <c r="B3793" s="4" t="s">
        <v>11510</v>
      </c>
      <c r="C3793" s="4" t="s">
        <v>14</v>
      </c>
      <c r="D3793" s="4" t="s">
        <v>15</v>
      </c>
      <c r="E3793" s="5" t="str">
        <f>"9190126"</f>
        <v>9190126</v>
      </c>
      <c r="F3793" s="3" t="s">
        <v>12073</v>
      </c>
      <c r="G3793" s="5">
        <v>2310706740</v>
      </c>
      <c r="H3793" s="4" t="s">
        <v>12074</v>
      </c>
      <c r="I3793" s="4" t="s">
        <v>11513</v>
      </c>
      <c r="J3793" s="4" t="s">
        <v>12075</v>
      </c>
      <c r="K3793" s="4" t="s">
        <v>12062</v>
      </c>
      <c r="L3793" s="5">
        <v>56334</v>
      </c>
    </row>
    <row r="3794" spans="1:12" x14ac:dyDescent="0.25">
      <c r="A3794" s="3" t="s">
        <v>10786</v>
      </c>
      <c r="B3794" s="4" t="s">
        <v>11510</v>
      </c>
      <c r="C3794" s="4" t="s">
        <v>14</v>
      </c>
      <c r="D3794" s="4" t="s">
        <v>15</v>
      </c>
      <c r="E3794" s="5" t="str">
        <f>"9190206"</f>
        <v>9190206</v>
      </c>
      <c r="F3794" s="3" t="s">
        <v>12076</v>
      </c>
      <c r="G3794" s="5">
        <v>2394022695</v>
      </c>
      <c r="H3794" s="4" t="s">
        <v>12077</v>
      </c>
      <c r="I3794" s="4" t="s">
        <v>11682</v>
      </c>
      <c r="J3794" s="4" t="s">
        <v>11682</v>
      </c>
      <c r="K3794" s="4" t="s">
        <v>11828</v>
      </c>
      <c r="L3794" s="5">
        <v>57200</v>
      </c>
    </row>
    <row r="3795" spans="1:12" x14ac:dyDescent="0.25">
      <c r="A3795" s="3" t="s">
        <v>10786</v>
      </c>
      <c r="B3795" s="4" t="s">
        <v>11510</v>
      </c>
      <c r="C3795" s="4" t="s">
        <v>25</v>
      </c>
      <c r="D3795" s="4" t="s">
        <v>26</v>
      </c>
      <c r="E3795" s="5" t="str">
        <f>"9520976"</f>
        <v>9520976</v>
      </c>
      <c r="F3795" s="3" t="s">
        <v>12078</v>
      </c>
      <c r="G3795" s="5">
        <v>2310676250</v>
      </c>
      <c r="H3795" s="4" t="s">
        <v>12079</v>
      </c>
      <c r="I3795" s="4" t="s">
        <v>11651</v>
      </c>
      <c r="J3795" s="4" t="s">
        <v>12065</v>
      </c>
      <c r="K3795" s="4" t="s">
        <v>12080</v>
      </c>
      <c r="L3795" s="5">
        <v>57010</v>
      </c>
    </row>
    <row r="3796" spans="1:12" x14ac:dyDescent="0.25">
      <c r="A3796" s="3" t="s">
        <v>10786</v>
      </c>
      <c r="B3796" s="4" t="s">
        <v>11510</v>
      </c>
      <c r="C3796" s="4" t="s">
        <v>14</v>
      </c>
      <c r="D3796" s="4" t="s">
        <v>15</v>
      </c>
      <c r="E3796" s="5" t="str">
        <f>"9190555"</f>
        <v>9190555</v>
      </c>
      <c r="F3796" s="3" t="s">
        <v>12081</v>
      </c>
      <c r="G3796" s="5">
        <v>2310655960</v>
      </c>
      <c r="H3796" s="4" t="s">
        <v>12082</v>
      </c>
      <c r="I3796" s="4" t="s">
        <v>11564</v>
      </c>
      <c r="J3796" s="4" t="s">
        <v>11666</v>
      </c>
      <c r="K3796" s="4" t="s">
        <v>11592</v>
      </c>
      <c r="L3796" s="5">
        <v>56431</v>
      </c>
    </row>
    <row r="3797" spans="1:12" x14ac:dyDescent="0.25">
      <c r="A3797" s="3" t="s">
        <v>10786</v>
      </c>
      <c r="B3797" s="4" t="s">
        <v>11510</v>
      </c>
      <c r="C3797" s="4" t="s">
        <v>14</v>
      </c>
      <c r="D3797" s="4" t="s">
        <v>15</v>
      </c>
      <c r="E3797" s="5" t="str">
        <f>"9190655"</f>
        <v>9190655</v>
      </c>
      <c r="F3797" s="3" t="s">
        <v>12083</v>
      </c>
      <c r="G3797" s="5">
        <v>2310683840</v>
      </c>
      <c r="H3797" s="4" t="s">
        <v>12084</v>
      </c>
      <c r="I3797" s="4" t="s">
        <v>11564</v>
      </c>
      <c r="J3797" s="4" t="s">
        <v>11666</v>
      </c>
      <c r="K3797" s="4" t="s">
        <v>12085</v>
      </c>
      <c r="L3797" s="5">
        <v>56437</v>
      </c>
    </row>
    <row r="3798" spans="1:12" x14ac:dyDescent="0.25">
      <c r="A3798" s="3" t="s">
        <v>10786</v>
      </c>
      <c r="B3798" s="4" t="s">
        <v>11510</v>
      </c>
      <c r="C3798" s="4" t="s">
        <v>25</v>
      </c>
      <c r="D3798" s="4" t="s">
        <v>26</v>
      </c>
      <c r="E3798" s="5" t="str">
        <f>"9190416"</f>
        <v>9190416</v>
      </c>
      <c r="F3798" s="3" t="s">
        <v>12086</v>
      </c>
      <c r="G3798" s="5">
        <v>2310680671</v>
      </c>
      <c r="H3798" s="4" t="s">
        <v>12087</v>
      </c>
      <c r="I3798" s="4" t="s">
        <v>11564</v>
      </c>
      <c r="J3798" s="4" t="s">
        <v>12088</v>
      </c>
      <c r="K3798" s="4" t="s">
        <v>12089</v>
      </c>
      <c r="L3798" s="5">
        <v>56429</v>
      </c>
    </row>
    <row r="3799" spans="1:12" x14ac:dyDescent="0.25">
      <c r="A3799" s="3" t="s">
        <v>10786</v>
      </c>
      <c r="B3799" s="4" t="s">
        <v>11510</v>
      </c>
      <c r="C3799" s="4" t="s">
        <v>25</v>
      </c>
      <c r="D3799" s="4" t="s">
        <v>26</v>
      </c>
      <c r="E3799" s="5" t="str">
        <f>"9190783"</f>
        <v>9190783</v>
      </c>
      <c r="F3799" s="3" t="s">
        <v>12090</v>
      </c>
      <c r="G3799" s="5">
        <v>2310681177</v>
      </c>
      <c r="H3799" s="4" t="s">
        <v>12091</v>
      </c>
      <c r="I3799" s="4" t="s">
        <v>11564</v>
      </c>
      <c r="J3799" s="4" t="s">
        <v>12088</v>
      </c>
      <c r="K3799" s="4" t="s">
        <v>12092</v>
      </c>
      <c r="L3799" s="5">
        <v>56429</v>
      </c>
    </row>
    <row r="3800" spans="1:12" x14ac:dyDescent="0.25">
      <c r="A3800" s="3" t="s">
        <v>10786</v>
      </c>
      <c r="B3800" s="4" t="s">
        <v>11510</v>
      </c>
      <c r="C3800" s="4" t="s">
        <v>25</v>
      </c>
      <c r="D3800" s="4" t="s">
        <v>26</v>
      </c>
      <c r="E3800" s="5" t="str">
        <f>"9190932"</f>
        <v>9190932</v>
      </c>
      <c r="F3800" s="3" t="s">
        <v>12093</v>
      </c>
      <c r="G3800" s="5">
        <v>2310685507</v>
      </c>
      <c r="H3800" s="4" t="s">
        <v>12094</v>
      </c>
      <c r="I3800" s="4" t="s">
        <v>11564</v>
      </c>
      <c r="J3800" s="4" t="s">
        <v>11645</v>
      </c>
      <c r="K3800" s="4" t="s">
        <v>12095</v>
      </c>
      <c r="L3800" s="5">
        <v>56429</v>
      </c>
    </row>
    <row r="3801" spans="1:12" x14ac:dyDescent="0.25">
      <c r="A3801" s="3" t="s">
        <v>10786</v>
      </c>
      <c r="B3801" s="4" t="s">
        <v>11510</v>
      </c>
      <c r="C3801" s="4" t="s">
        <v>14</v>
      </c>
      <c r="D3801" s="4" t="s">
        <v>15</v>
      </c>
      <c r="E3801" s="5" t="str">
        <f>"9190131"</f>
        <v>9190131</v>
      </c>
      <c r="F3801" s="3" t="s">
        <v>12096</v>
      </c>
      <c r="G3801" s="5">
        <v>2310762062</v>
      </c>
      <c r="H3801" s="4" t="s">
        <v>12097</v>
      </c>
      <c r="I3801" s="4" t="s">
        <v>11513</v>
      </c>
      <c r="J3801" s="4" t="s">
        <v>11557</v>
      </c>
      <c r="K3801" s="4" t="s">
        <v>12098</v>
      </c>
      <c r="L3801" s="5">
        <v>56224</v>
      </c>
    </row>
    <row r="3802" spans="1:12" x14ac:dyDescent="0.25">
      <c r="A3802" s="3" t="s">
        <v>10786</v>
      </c>
      <c r="B3802" s="4" t="s">
        <v>11510</v>
      </c>
      <c r="C3802" s="4" t="s">
        <v>25</v>
      </c>
      <c r="D3802" s="4" t="s">
        <v>26</v>
      </c>
      <c r="E3802" s="5" t="str">
        <f>"9520922"</f>
        <v>9520922</v>
      </c>
      <c r="F3802" s="3" t="s">
        <v>12099</v>
      </c>
      <c r="G3802" s="5">
        <v>2310680555</v>
      </c>
      <c r="H3802" s="4" t="s">
        <v>12100</v>
      </c>
      <c r="I3802" s="4" t="s">
        <v>11564</v>
      </c>
      <c r="J3802" s="4" t="s">
        <v>12088</v>
      </c>
      <c r="K3802" s="4" t="s">
        <v>12101</v>
      </c>
      <c r="L3802" s="5">
        <v>56429</v>
      </c>
    </row>
    <row r="3803" spans="1:12" x14ac:dyDescent="0.25">
      <c r="A3803" s="3" t="s">
        <v>10786</v>
      </c>
      <c r="B3803" s="4" t="s">
        <v>11510</v>
      </c>
      <c r="C3803" s="4" t="s">
        <v>14</v>
      </c>
      <c r="D3803" s="4" t="s">
        <v>15</v>
      </c>
      <c r="E3803" s="5" t="str">
        <f>"9190152"</f>
        <v>9190152</v>
      </c>
      <c r="F3803" s="3" t="s">
        <v>12102</v>
      </c>
      <c r="G3803" s="5">
        <v>2310732464</v>
      </c>
      <c r="H3803" s="4" t="s">
        <v>12103</v>
      </c>
      <c r="I3803" s="4" t="s">
        <v>11616</v>
      </c>
      <c r="J3803" s="4" t="s">
        <v>11672</v>
      </c>
      <c r="K3803" s="4" t="s">
        <v>12104</v>
      </c>
      <c r="L3803" s="5">
        <v>56122</v>
      </c>
    </row>
    <row r="3804" spans="1:12" x14ac:dyDescent="0.25">
      <c r="A3804" s="3" t="s">
        <v>10786</v>
      </c>
      <c r="B3804" s="4" t="s">
        <v>11510</v>
      </c>
      <c r="C3804" s="4" t="s">
        <v>14</v>
      </c>
      <c r="D3804" s="4" t="s">
        <v>15</v>
      </c>
      <c r="E3804" s="5" t="str">
        <f>"9190300"</f>
        <v>9190300</v>
      </c>
      <c r="F3804" s="3" t="s">
        <v>12105</v>
      </c>
      <c r="G3804" s="5">
        <v>2310719231</v>
      </c>
      <c r="H3804" s="4" t="s">
        <v>12106</v>
      </c>
      <c r="I3804" s="4" t="s">
        <v>11575</v>
      </c>
      <c r="J3804" s="4" t="s">
        <v>12107</v>
      </c>
      <c r="K3804" s="4" t="s">
        <v>12108</v>
      </c>
      <c r="L3804" s="5">
        <v>57011</v>
      </c>
    </row>
    <row r="3805" spans="1:12" x14ac:dyDescent="0.25">
      <c r="A3805" s="3" t="s">
        <v>10786</v>
      </c>
      <c r="B3805" s="4" t="s">
        <v>11510</v>
      </c>
      <c r="C3805" s="4" t="s">
        <v>14</v>
      </c>
      <c r="D3805" s="4" t="s">
        <v>15</v>
      </c>
      <c r="E3805" s="5" t="str">
        <f>"9190156"</f>
        <v>9190156</v>
      </c>
      <c r="F3805" s="3" t="s">
        <v>12109</v>
      </c>
      <c r="G3805" s="5">
        <v>2310205416</v>
      </c>
      <c r="H3805" s="4" t="s">
        <v>12110</v>
      </c>
      <c r="I3805" s="4" t="s">
        <v>11651</v>
      </c>
      <c r="J3805" s="4" t="s">
        <v>12111</v>
      </c>
      <c r="K3805" s="4" t="s">
        <v>12112</v>
      </c>
      <c r="L3805" s="5">
        <v>55438</v>
      </c>
    </row>
    <row r="3806" spans="1:12" x14ac:dyDescent="0.25">
      <c r="A3806" s="3" t="s">
        <v>10786</v>
      </c>
      <c r="B3806" s="4" t="s">
        <v>11510</v>
      </c>
      <c r="C3806" s="4" t="s">
        <v>14</v>
      </c>
      <c r="D3806" s="4" t="s">
        <v>15</v>
      </c>
      <c r="E3806" s="5" t="str">
        <f>"9190132"</f>
        <v>9190132</v>
      </c>
      <c r="F3806" s="3" t="s">
        <v>12113</v>
      </c>
      <c r="G3806" s="5">
        <v>2310762922</v>
      </c>
      <c r="H3806" s="4" t="s">
        <v>12114</v>
      </c>
      <c r="I3806" s="4" t="s">
        <v>11513</v>
      </c>
      <c r="J3806" s="4" t="s">
        <v>11557</v>
      </c>
      <c r="K3806" s="4" t="s">
        <v>12115</v>
      </c>
      <c r="L3806" s="5">
        <v>56224</v>
      </c>
    </row>
    <row r="3807" spans="1:12" x14ac:dyDescent="0.25">
      <c r="A3807" s="3" t="s">
        <v>10786</v>
      </c>
      <c r="B3807" s="4" t="s">
        <v>11510</v>
      </c>
      <c r="C3807" s="4" t="s">
        <v>14</v>
      </c>
      <c r="D3807" s="4" t="s">
        <v>15</v>
      </c>
      <c r="E3807" s="5" t="str">
        <f>"9190271"</f>
        <v>9190271</v>
      </c>
      <c r="F3807" s="3" t="s">
        <v>12116</v>
      </c>
      <c r="G3807" s="5">
        <v>2310718010</v>
      </c>
      <c r="H3807" s="4" t="s">
        <v>12117</v>
      </c>
      <c r="I3807" s="4" t="s">
        <v>11640</v>
      </c>
      <c r="J3807" s="4" t="s">
        <v>12118</v>
      </c>
      <c r="K3807" s="4" t="s">
        <v>12119</v>
      </c>
      <c r="L3807" s="5">
        <v>57300</v>
      </c>
    </row>
    <row r="3808" spans="1:12" x14ac:dyDescent="0.25">
      <c r="A3808" s="3" t="s">
        <v>10786</v>
      </c>
      <c r="B3808" s="4" t="s">
        <v>11510</v>
      </c>
      <c r="C3808" s="4" t="s">
        <v>14</v>
      </c>
      <c r="D3808" s="4" t="s">
        <v>15</v>
      </c>
      <c r="E3808" s="5" t="str">
        <f>"9190289"</f>
        <v>9190289</v>
      </c>
      <c r="F3808" s="3" t="s">
        <v>12120</v>
      </c>
      <c r="G3808" s="5">
        <v>2310792315</v>
      </c>
      <c r="H3808" s="4" t="s">
        <v>12121</v>
      </c>
      <c r="I3808" s="4" t="s">
        <v>11640</v>
      </c>
      <c r="J3808" s="4" t="s">
        <v>11763</v>
      </c>
      <c r="K3808" s="4" t="s">
        <v>12122</v>
      </c>
      <c r="L3808" s="5">
        <v>57300</v>
      </c>
    </row>
    <row r="3809" spans="1:12" x14ac:dyDescent="0.25">
      <c r="A3809" s="3" t="s">
        <v>10786</v>
      </c>
      <c r="B3809" s="4" t="s">
        <v>11510</v>
      </c>
      <c r="C3809" s="4" t="s">
        <v>14</v>
      </c>
      <c r="D3809" s="4" t="s">
        <v>15</v>
      </c>
      <c r="E3809" s="5" t="str">
        <f>"9190297"</f>
        <v>9190297</v>
      </c>
      <c r="F3809" s="3" t="s">
        <v>12123</v>
      </c>
      <c r="G3809" s="5">
        <v>2310701268</v>
      </c>
      <c r="H3809" s="4" t="s">
        <v>12124</v>
      </c>
      <c r="I3809" s="4" t="s">
        <v>11575</v>
      </c>
      <c r="J3809" s="4" t="s">
        <v>110</v>
      </c>
      <c r="K3809" s="4" t="s">
        <v>12125</v>
      </c>
      <c r="L3809" s="5">
        <v>57003</v>
      </c>
    </row>
    <row r="3810" spans="1:12" x14ac:dyDescent="0.25">
      <c r="A3810" s="3" t="s">
        <v>10786</v>
      </c>
      <c r="B3810" s="4" t="s">
        <v>11510</v>
      </c>
      <c r="C3810" s="4" t="s">
        <v>14</v>
      </c>
      <c r="D3810" s="4" t="s">
        <v>179</v>
      </c>
      <c r="E3810" s="5" t="str">
        <f>"9190273"</f>
        <v>9190273</v>
      </c>
      <c r="F3810" s="3" t="s">
        <v>12126</v>
      </c>
      <c r="G3810" s="5">
        <v>2391031246</v>
      </c>
      <c r="H3810" s="4" t="s">
        <v>12127</v>
      </c>
      <c r="I3810" s="4" t="s">
        <v>11640</v>
      </c>
      <c r="J3810" s="4" t="s">
        <v>11747</v>
      </c>
      <c r="K3810" s="4" t="s">
        <v>11747</v>
      </c>
      <c r="L3810" s="5">
        <v>57007</v>
      </c>
    </row>
    <row r="3811" spans="1:12" x14ac:dyDescent="0.25">
      <c r="A3811" s="3" t="s">
        <v>10786</v>
      </c>
      <c r="B3811" s="4" t="s">
        <v>11510</v>
      </c>
      <c r="C3811" s="4" t="s">
        <v>14</v>
      </c>
      <c r="D3811" s="4" t="s">
        <v>15</v>
      </c>
      <c r="E3811" s="5" t="str">
        <f>"9190328"</f>
        <v>9190328</v>
      </c>
      <c r="F3811" s="3" t="s">
        <v>12128</v>
      </c>
      <c r="G3811" s="5">
        <v>2310711102</v>
      </c>
      <c r="H3811" s="4" t="s">
        <v>12129</v>
      </c>
      <c r="I3811" s="4" t="s">
        <v>11575</v>
      </c>
      <c r="J3811" s="4" t="s">
        <v>12130</v>
      </c>
      <c r="K3811" s="4" t="s">
        <v>12130</v>
      </c>
      <c r="L3811" s="5">
        <v>57011</v>
      </c>
    </row>
    <row r="3812" spans="1:12" x14ac:dyDescent="0.25">
      <c r="A3812" s="3" t="s">
        <v>10786</v>
      </c>
      <c r="B3812" s="4" t="s">
        <v>11510</v>
      </c>
      <c r="C3812" s="4" t="s">
        <v>14</v>
      </c>
      <c r="D3812" s="4" t="s">
        <v>15</v>
      </c>
      <c r="E3812" s="5" t="str">
        <f>"9190292"</f>
        <v>9190292</v>
      </c>
      <c r="F3812" s="3" t="s">
        <v>12131</v>
      </c>
      <c r="G3812" s="5">
        <v>2310798110</v>
      </c>
      <c r="H3812" s="4" t="s">
        <v>12132</v>
      </c>
      <c r="I3812" s="4" t="s">
        <v>11640</v>
      </c>
      <c r="J3812" s="4" t="s">
        <v>11641</v>
      </c>
      <c r="K3812" s="4" t="s">
        <v>12133</v>
      </c>
      <c r="L3812" s="5">
        <v>57400</v>
      </c>
    </row>
    <row r="3813" spans="1:12" x14ac:dyDescent="0.25">
      <c r="A3813" s="3" t="s">
        <v>10786</v>
      </c>
      <c r="B3813" s="4" t="s">
        <v>11510</v>
      </c>
      <c r="C3813" s="4" t="s">
        <v>14</v>
      </c>
      <c r="D3813" s="4" t="s">
        <v>15</v>
      </c>
      <c r="E3813" s="5" t="str">
        <f>"9190324"</f>
        <v>9190324</v>
      </c>
      <c r="F3813" s="3" t="s">
        <v>12134</v>
      </c>
      <c r="G3813" s="5">
        <v>2310787581</v>
      </c>
      <c r="H3813" s="4" t="s">
        <v>12135</v>
      </c>
      <c r="I3813" s="4" t="s">
        <v>11635</v>
      </c>
      <c r="J3813" s="4"/>
      <c r="K3813" s="4" t="s">
        <v>7189</v>
      </c>
      <c r="L3813" s="5">
        <v>54500</v>
      </c>
    </row>
    <row r="3814" spans="1:12" x14ac:dyDescent="0.25">
      <c r="A3814" s="3" t="s">
        <v>10786</v>
      </c>
      <c r="B3814" s="4" t="s">
        <v>11510</v>
      </c>
      <c r="C3814" s="4" t="s">
        <v>14</v>
      </c>
      <c r="D3814" s="4" t="s">
        <v>15</v>
      </c>
      <c r="E3814" s="5" t="str">
        <f>"9190319"</f>
        <v>9190319</v>
      </c>
      <c r="F3814" s="3" t="s">
        <v>12136</v>
      </c>
      <c r="G3814" s="5">
        <v>2391051376</v>
      </c>
      <c r="H3814" s="4" t="s">
        <v>12137</v>
      </c>
      <c r="I3814" s="4" t="s">
        <v>11575</v>
      </c>
      <c r="J3814" s="4" t="s">
        <v>12138</v>
      </c>
      <c r="K3814" s="4" t="s">
        <v>12139</v>
      </c>
      <c r="L3814" s="5">
        <v>57100</v>
      </c>
    </row>
    <row r="3815" spans="1:12" x14ac:dyDescent="0.25">
      <c r="A3815" s="3" t="s">
        <v>10786</v>
      </c>
      <c r="B3815" s="4" t="s">
        <v>11510</v>
      </c>
      <c r="C3815" s="4" t="s">
        <v>14</v>
      </c>
      <c r="D3815" s="4" t="s">
        <v>15</v>
      </c>
      <c r="E3815" s="5" t="str">
        <f>"9190318"</f>
        <v>9190318</v>
      </c>
      <c r="F3815" s="3" t="s">
        <v>12140</v>
      </c>
      <c r="G3815" s="5">
        <v>2391051378</v>
      </c>
      <c r="H3815" s="4" t="s">
        <v>12141</v>
      </c>
      <c r="I3815" s="4" t="s">
        <v>11575</v>
      </c>
      <c r="J3815" s="4" t="s">
        <v>12138</v>
      </c>
      <c r="K3815" s="4" t="s">
        <v>12142</v>
      </c>
      <c r="L3815" s="5">
        <v>57100</v>
      </c>
    </row>
    <row r="3816" spans="1:12" x14ac:dyDescent="0.25">
      <c r="A3816" s="3" t="s">
        <v>10786</v>
      </c>
      <c r="B3816" s="4" t="s">
        <v>11510</v>
      </c>
      <c r="C3816" s="4" t="s">
        <v>14</v>
      </c>
      <c r="D3816" s="4" t="s">
        <v>15</v>
      </c>
      <c r="E3816" s="5" t="str">
        <f>"9190320"</f>
        <v>9190320</v>
      </c>
      <c r="F3816" s="3" t="s">
        <v>12143</v>
      </c>
      <c r="G3816" s="5">
        <v>2391051374</v>
      </c>
      <c r="H3816" s="4" t="s">
        <v>12144</v>
      </c>
      <c r="I3816" s="4" t="s">
        <v>11575</v>
      </c>
      <c r="J3816" s="4" t="s">
        <v>12145</v>
      </c>
      <c r="K3816" s="4" t="s">
        <v>12146</v>
      </c>
      <c r="L3816" s="5">
        <v>57100</v>
      </c>
    </row>
    <row r="3817" spans="1:12" x14ac:dyDescent="0.25">
      <c r="A3817" s="3" t="s">
        <v>10786</v>
      </c>
      <c r="B3817" s="4" t="s">
        <v>11510</v>
      </c>
      <c r="C3817" s="4" t="s">
        <v>14</v>
      </c>
      <c r="D3817" s="4" t="s">
        <v>15</v>
      </c>
      <c r="E3817" s="5" t="str">
        <f>"9190661"</f>
        <v>9190661</v>
      </c>
      <c r="F3817" s="3" t="s">
        <v>12147</v>
      </c>
      <c r="G3817" s="5">
        <v>2391051340</v>
      </c>
      <c r="H3817" s="4" t="s">
        <v>12148</v>
      </c>
      <c r="I3817" s="4" t="s">
        <v>11575</v>
      </c>
      <c r="J3817" s="4" t="s">
        <v>12149</v>
      </c>
      <c r="K3817" s="4" t="s">
        <v>11743</v>
      </c>
      <c r="L3817" s="5">
        <v>57100</v>
      </c>
    </row>
    <row r="3818" spans="1:12" x14ac:dyDescent="0.25">
      <c r="A3818" s="3" t="s">
        <v>10786</v>
      </c>
      <c r="B3818" s="4" t="s">
        <v>11510</v>
      </c>
      <c r="C3818" s="4" t="s">
        <v>14</v>
      </c>
      <c r="D3818" s="4" t="s">
        <v>15</v>
      </c>
      <c r="E3818" s="5" t="str">
        <f>"9190283"</f>
        <v>9190283</v>
      </c>
      <c r="F3818" s="3" t="s">
        <v>12150</v>
      </c>
      <c r="G3818" s="5">
        <v>2391041244</v>
      </c>
      <c r="H3818" s="4" t="s">
        <v>12151</v>
      </c>
      <c r="I3818" s="4" t="s">
        <v>11640</v>
      </c>
      <c r="J3818" s="4" t="s">
        <v>12152</v>
      </c>
      <c r="K3818" s="4" t="s">
        <v>12153</v>
      </c>
      <c r="L3818" s="5">
        <v>57300</v>
      </c>
    </row>
    <row r="3819" spans="1:12" x14ac:dyDescent="0.25">
      <c r="A3819" s="3" t="s">
        <v>10786</v>
      </c>
      <c r="B3819" s="4" t="s">
        <v>11510</v>
      </c>
      <c r="C3819" s="4" t="s">
        <v>14</v>
      </c>
      <c r="D3819" s="4" t="s">
        <v>15</v>
      </c>
      <c r="E3819" s="5" t="str">
        <f>"9190281"</f>
        <v>9190281</v>
      </c>
      <c r="F3819" s="3" t="s">
        <v>12154</v>
      </c>
      <c r="G3819" s="5">
        <v>2391061119</v>
      </c>
      <c r="H3819" s="4" t="s">
        <v>12155</v>
      </c>
      <c r="I3819" s="4" t="s">
        <v>11575</v>
      </c>
      <c r="J3819" s="4" t="s">
        <v>12156</v>
      </c>
      <c r="K3819" s="4" t="s">
        <v>11386</v>
      </c>
      <c r="L3819" s="5">
        <v>57007</v>
      </c>
    </row>
    <row r="3820" spans="1:12" x14ac:dyDescent="0.25">
      <c r="A3820" s="3" t="s">
        <v>10786</v>
      </c>
      <c r="B3820" s="4" t="s">
        <v>11510</v>
      </c>
      <c r="C3820" s="4" t="s">
        <v>14</v>
      </c>
      <c r="D3820" s="4" t="s">
        <v>15</v>
      </c>
      <c r="E3820" s="5" t="str">
        <f>"9190660"</f>
        <v>9190660</v>
      </c>
      <c r="F3820" s="3" t="s">
        <v>12157</v>
      </c>
      <c r="G3820" s="5">
        <v>2310792030</v>
      </c>
      <c r="H3820" s="4" t="s">
        <v>12158</v>
      </c>
      <c r="I3820" s="4" t="s">
        <v>11640</v>
      </c>
      <c r="J3820" s="4" t="s">
        <v>11763</v>
      </c>
      <c r="K3820" s="4" t="s">
        <v>12159</v>
      </c>
      <c r="L3820" s="5">
        <v>57300</v>
      </c>
    </row>
    <row r="3821" spans="1:12" x14ac:dyDescent="0.25">
      <c r="A3821" s="3" t="s">
        <v>10786</v>
      </c>
      <c r="B3821" s="4" t="s">
        <v>11510</v>
      </c>
      <c r="C3821" s="4" t="s">
        <v>25</v>
      </c>
      <c r="D3821" s="4" t="s">
        <v>26</v>
      </c>
      <c r="E3821" s="5" t="str">
        <f>"9190519"</f>
        <v>9190519</v>
      </c>
      <c r="F3821" s="3" t="s">
        <v>12160</v>
      </c>
      <c r="G3821" s="5">
        <v>2310697639</v>
      </c>
      <c r="H3821" s="4" t="s">
        <v>12161</v>
      </c>
      <c r="I3821" s="4" t="s">
        <v>11635</v>
      </c>
      <c r="J3821" s="4" t="s">
        <v>11635</v>
      </c>
      <c r="K3821" s="4" t="s">
        <v>12162</v>
      </c>
      <c r="L3821" s="5">
        <v>57013</v>
      </c>
    </row>
    <row r="3822" spans="1:12" x14ac:dyDescent="0.25">
      <c r="A3822" s="3" t="s">
        <v>10786</v>
      </c>
      <c r="B3822" s="4" t="s">
        <v>11510</v>
      </c>
      <c r="C3822" s="4" t="s">
        <v>25</v>
      </c>
      <c r="D3822" s="4" t="s">
        <v>26</v>
      </c>
      <c r="E3822" s="5" t="str">
        <f>"9190912"</f>
        <v>9190912</v>
      </c>
      <c r="F3822" s="3" t="s">
        <v>12163</v>
      </c>
      <c r="G3822" s="5">
        <v>2310695839</v>
      </c>
      <c r="H3822" s="4" t="s">
        <v>12164</v>
      </c>
      <c r="I3822" s="4" t="s">
        <v>11635</v>
      </c>
      <c r="J3822" s="4" t="s">
        <v>11635</v>
      </c>
      <c r="K3822" s="4" t="s">
        <v>12165</v>
      </c>
      <c r="L3822" s="5">
        <v>57013</v>
      </c>
    </row>
    <row r="3823" spans="1:12" x14ac:dyDescent="0.25">
      <c r="A3823" s="3" t="s">
        <v>10786</v>
      </c>
      <c r="B3823" s="4" t="s">
        <v>11510</v>
      </c>
      <c r="C3823" s="4" t="s">
        <v>14</v>
      </c>
      <c r="D3823" s="4" t="s">
        <v>15</v>
      </c>
      <c r="E3823" s="5" t="str">
        <f>"9190301"</f>
        <v>9190301</v>
      </c>
      <c r="F3823" s="3" t="s">
        <v>12166</v>
      </c>
      <c r="G3823" s="5">
        <v>2310715338</v>
      </c>
      <c r="H3823" s="4" t="s">
        <v>12167</v>
      </c>
      <c r="I3823" s="4" t="s">
        <v>11575</v>
      </c>
      <c r="J3823" s="4" t="s">
        <v>12168</v>
      </c>
      <c r="K3823" s="4" t="s">
        <v>12169</v>
      </c>
      <c r="L3823" s="5">
        <v>57011</v>
      </c>
    </row>
    <row r="3824" spans="1:12" x14ac:dyDescent="0.25">
      <c r="A3824" s="3" t="s">
        <v>10786</v>
      </c>
      <c r="B3824" s="4" t="s">
        <v>11510</v>
      </c>
      <c r="C3824" s="4" t="s">
        <v>25</v>
      </c>
      <c r="D3824" s="4" t="s">
        <v>26</v>
      </c>
      <c r="E3824" s="5" t="str">
        <f>"9190949"</f>
        <v>9190949</v>
      </c>
      <c r="F3824" s="3" t="s">
        <v>12170</v>
      </c>
      <c r="G3824" s="5">
        <v>2310699788</v>
      </c>
      <c r="H3824" s="4" t="s">
        <v>12171</v>
      </c>
      <c r="I3824" s="4" t="s">
        <v>11635</v>
      </c>
      <c r="J3824" s="4" t="s">
        <v>11635</v>
      </c>
      <c r="K3824" s="4" t="s">
        <v>12172</v>
      </c>
      <c r="L3824" s="5">
        <v>57013</v>
      </c>
    </row>
    <row r="3825" spans="1:12" x14ac:dyDescent="0.25">
      <c r="A3825" s="3" t="s">
        <v>10786</v>
      </c>
      <c r="B3825" s="4" t="s">
        <v>11510</v>
      </c>
      <c r="C3825" s="4" t="s">
        <v>14</v>
      </c>
      <c r="D3825" s="4" t="s">
        <v>15</v>
      </c>
      <c r="E3825" s="5" t="str">
        <f>"9190823"</f>
        <v>9190823</v>
      </c>
      <c r="F3825" s="3" t="s">
        <v>12173</v>
      </c>
      <c r="G3825" s="5">
        <v>2310726770</v>
      </c>
      <c r="H3825" s="4" t="s">
        <v>12174</v>
      </c>
      <c r="I3825" s="4" t="s">
        <v>11616</v>
      </c>
      <c r="J3825" s="4" t="s">
        <v>10361</v>
      </c>
      <c r="K3825" s="4" t="s">
        <v>12175</v>
      </c>
      <c r="L3825" s="5">
        <v>56121</v>
      </c>
    </row>
    <row r="3826" spans="1:12" x14ac:dyDescent="0.25">
      <c r="A3826" s="3" t="s">
        <v>10786</v>
      </c>
      <c r="B3826" s="4" t="s">
        <v>11510</v>
      </c>
      <c r="C3826" s="4" t="s">
        <v>14</v>
      </c>
      <c r="D3826" s="4" t="s">
        <v>15</v>
      </c>
      <c r="E3826" s="5" t="str">
        <f>"9190277"</f>
        <v>9190277</v>
      </c>
      <c r="F3826" s="3" t="s">
        <v>12176</v>
      </c>
      <c r="G3826" s="5">
        <v>2391041241</v>
      </c>
      <c r="H3826" s="4" t="s">
        <v>12177</v>
      </c>
      <c r="I3826" s="4" t="s">
        <v>11640</v>
      </c>
      <c r="J3826" s="4" t="s">
        <v>12178</v>
      </c>
      <c r="K3826" s="4" t="s">
        <v>12179</v>
      </c>
      <c r="L3826" s="5">
        <v>57300</v>
      </c>
    </row>
    <row r="3827" spans="1:12" x14ac:dyDescent="0.25">
      <c r="A3827" s="3" t="s">
        <v>10786</v>
      </c>
      <c r="B3827" s="4" t="s">
        <v>11510</v>
      </c>
      <c r="C3827" s="4" t="s">
        <v>14</v>
      </c>
      <c r="D3827" s="4" t="s">
        <v>960</v>
      </c>
      <c r="E3827" s="5" t="str">
        <f>"9190529"</f>
        <v>9190529</v>
      </c>
      <c r="F3827" s="3" t="s">
        <v>12180</v>
      </c>
      <c r="G3827" s="5">
        <v>2310764235</v>
      </c>
      <c r="H3827" s="4" t="s">
        <v>12181</v>
      </c>
      <c r="I3827" s="4" t="s">
        <v>11513</v>
      </c>
      <c r="J3827" s="4" t="s">
        <v>11518</v>
      </c>
      <c r="K3827" s="4" t="s">
        <v>12182</v>
      </c>
      <c r="L3827" s="5">
        <v>56224</v>
      </c>
    </row>
    <row r="3828" spans="1:12" x14ac:dyDescent="0.25">
      <c r="A3828" s="3" t="s">
        <v>10786</v>
      </c>
      <c r="B3828" s="4" t="s">
        <v>11510</v>
      </c>
      <c r="C3828" s="4" t="s">
        <v>25</v>
      </c>
      <c r="D3828" s="4" t="s">
        <v>26</v>
      </c>
      <c r="E3828" s="5" t="str">
        <f>"9190095"</f>
        <v>9190095</v>
      </c>
      <c r="F3828" s="3" t="s">
        <v>12183</v>
      </c>
      <c r="G3828" s="5">
        <v>2310518867</v>
      </c>
      <c r="H3828" s="4" t="s">
        <v>12184</v>
      </c>
      <c r="I3828" s="4" t="s">
        <v>11651</v>
      </c>
      <c r="J3828" s="4" t="s">
        <v>11794</v>
      </c>
      <c r="K3828" s="4" t="s">
        <v>12185</v>
      </c>
      <c r="L3828" s="5">
        <v>56727</v>
      </c>
    </row>
    <row r="3829" spans="1:12" x14ac:dyDescent="0.25">
      <c r="A3829" s="3" t="s">
        <v>10786</v>
      </c>
      <c r="B3829" s="4" t="s">
        <v>11510</v>
      </c>
      <c r="C3829" s="4" t="s">
        <v>14</v>
      </c>
      <c r="D3829" s="4" t="s">
        <v>15</v>
      </c>
      <c r="E3829" s="5" t="str">
        <f>"9190659"</f>
        <v>9190659</v>
      </c>
      <c r="F3829" s="3" t="s">
        <v>12186</v>
      </c>
      <c r="G3829" s="5">
        <v>2310709326</v>
      </c>
      <c r="H3829" s="4" t="s">
        <v>12187</v>
      </c>
      <c r="I3829" s="4" t="s">
        <v>11513</v>
      </c>
      <c r="J3829" s="4" t="s">
        <v>11557</v>
      </c>
      <c r="K3829" s="4" t="s">
        <v>12115</v>
      </c>
      <c r="L3829" s="5">
        <v>56224</v>
      </c>
    </row>
    <row r="3830" spans="1:12" x14ac:dyDescent="0.25">
      <c r="A3830" s="3" t="s">
        <v>10786</v>
      </c>
      <c r="B3830" s="4" t="s">
        <v>11510</v>
      </c>
      <c r="C3830" s="4" t="s">
        <v>14</v>
      </c>
      <c r="D3830" s="4" t="s">
        <v>15</v>
      </c>
      <c r="E3830" s="5" t="str">
        <f>"9190115"</f>
        <v>9190115</v>
      </c>
      <c r="F3830" s="3" t="s">
        <v>12188</v>
      </c>
      <c r="G3830" s="5">
        <v>2310732149</v>
      </c>
      <c r="H3830" s="4" t="s">
        <v>12189</v>
      </c>
      <c r="I3830" s="4" t="s">
        <v>11616</v>
      </c>
      <c r="J3830" s="4" t="s">
        <v>10361</v>
      </c>
      <c r="K3830" s="4" t="s">
        <v>12190</v>
      </c>
      <c r="L3830" s="5">
        <v>56121</v>
      </c>
    </row>
    <row r="3831" spans="1:12" x14ac:dyDescent="0.25">
      <c r="A3831" s="3" t="s">
        <v>10786</v>
      </c>
      <c r="B3831" s="4" t="s">
        <v>11510</v>
      </c>
      <c r="C3831" s="4" t="s">
        <v>14</v>
      </c>
      <c r="D3831" s="4" t="s">
        <v>15</v>
      </c>
      <c r="E3831" s="5" t="str">
        <f>"9190294"</f>
        <v>9190294</v>
      </c>
      <c r="F3831" s="3" t="s">
        <v>12191</v>
      </c>
      <c r="G3831" s="5">
        <v>2391022366</v>
      </c>
      <c r="H3831" s="4" t="s">
        <v>12192</v>
      </c>
      <c r="I3831" s="4" t="s">
        <v>11575</v>
      </c>
      <c r="J3831" s="4" t="s">
        <v>12193</v>
      </c>
      <c r="K3831" s="4" t="s">
        <v>12194</v>
      </c>
      <c r="L3831" s="5">
        <v>57007</v>
      </c>
    </row>
    <row r="3832" spans="1:12" x14ac:dyDescent="0.25">
      <c r="A3832" s="3" t="s">
        <v>10786</v>
      </c>
      <c r="B3832" s="4" t="s">
        <v>11510</v>
      </c>
      <c r="C3832" s="4" t="s">
        <v>14</v>
      </c>
      <c r="D3832" s="4" t="s">
        <v>15</v>
      </c>
      <c r="E3832" s="5" t="str">
        <f>"9520911"</f>
        <v>9520911</v>
      </c>
      <c r="F3832" s="3" t="s">
        <v>12195</v>
      </c>
      <c r="G3832" s="5">
        <v>2310676079</v>
      </c>
      <c r="H3832" s="4" t="s">
        <v>12196</v>
      </c>
      <c r="I3832" s="4" t="s">
        <v>11651</v>
      </c>
      <c r="J3832" s="4" t="s">
        <v>11699</v>
      </c>
      <c r="K3832" s="4" t="s">
        <v>12197</v>
      </c>
      <c r="L3832" s="5">
        <v>57010</v>
      </c>
    </row>
    <row r="3833" spans="1:12" x14ac:dyDescent="0.25">
      <c r="A3833" s="3" t="s">
        <v>10786</v>
      </c>
      <c r="B3833" s="4" t="s">
        <v>11510</v>
      </c>
      <c r="C3833" s="4" t="s">
        <v>14</v>
      </c>
      <c r="D3833" s="4" t="s">
        <v>15</v>
      </c>
      <c r="E3833" s="5" t="str">
        <f>"9190120"</f>
        <v>9190120</v>
      </c>
      <c r="F3833" s="3" t="s">
        <v>12198</v>
      </c>
      <c r="G3833" s="5">
        <v>2310731159</v>
      </c>
      <c r="H3833" s="4" t="s">
        <v>12199</v>
      </c>
      <c r="I3833" s="4" t="s">
        <v>11616</v>
      </c>
      <c r="J3833" s="4" t="s">
        <v>10361</v>
      </c>
      <c r="K3833" s="4" t="s">
        <v>12200</v>
      </c>
      <c r="L3833" s="5">
        <v>56123</v>
      </c>
    </row>
    <row r="3834" spans="1:12" x14ac:dyDescent="0.25">
      <c r="A3834" s="3" t="s">
        <v>10786</v>
      </c>
      <c r="B3834" s="4" t="s">
        <v>11510</v>
      </c>
      <c r="C3834" s="4" t="s">
        <v>14</v>
      </c>
      <c r="D3834" s="4" t="s">
        <v>15</v>
      </c>
      <c r="E3834" s="5" t="str">
        <f>"9190904"</f>
        <v>9190904</v>
      </c>
      <c r="F3834" s="3" t="s">
        <v>12201</v>
      </c>
      <c r="G3834" s="5">
        <v>2310751288</v>
      </c>
      <c r="H3834" s="4" t="s">
        <v>12202</v>
      </c>
      <c r="I3834" s="4" t="s">
        <v>11640</v>
      </c>
      <c r="J3834" s="4" t="s">
        <v>11941</v>
      </c>
      <c r="K3834" s="4" t="s">
        <v>12203</v>
      </c>
      <c r="L3834" s="5">
        <v>57009</v>
      </c>
    </row>
    <row r="3835" spans="1:12" x14ac:dyDescent="0.25">
      <c r="A3835" s="3" t="s">
        <v>10786</v>
      </c>
      <c r="B3835" s="4" t="s">
        <v>11510</v>
      </c>
      <c r="C3835" s="4" t="s">
        <v>25</v>
      </c>
      <c r="D3835" s="4" t="s">
        <v>26</v>
      </c>
      <c r="E3835" s="5" t="str">
        <f>"9190459"</f>
        <v>9190459</v>
      </c>
      <c r="F3835" s="3" t="s">
        <v>12204</v>
      </c>
      <c r="G3835" s="5">
        <v>2310708200</v>
      </c>
      <c r="H3835" s="4" t="s">
        <v>12205</v>
      </c>
      <c r="I3835" s="4" t="s">
        <v>11513</v>
      </c>
      <c r="J3835" s="4" t="s">
        <v>11518</v>
      </c>
      <c r="K3835" s="4" t="s">
        <v>12206</v>
      </c>
      <c r="L3835" s="5">
        <v>56224</v>
      </c>
    </row>
    <row r="3836" spans="1:12" x14ac:dyDescent="0.25">
      <c r="A3836" s="3" t="s">
        <v>10786</v>
      </c>
      <c r="B3836" s="4" t="s">
        <v>11510</v>
      </c>
      <c r="C3836" s="4" t="s">
        <v>14</v>
      </c>
      <c r="D3836" s="4" t="s">
        <v>15</v>
      </c>
      <c r="E3836" s="5" t="str">
        <f>"9190424"</f>
        <v>9190424</v>
      </c>
      <c r="F3836" s="3" t="s">
        <v>12207</v>
      </c>
      <c r="G3836" s="5">
        <v>2310653703</v>
      </c>
      <c r="H3836" s="4" t="s">
        <v>12208</v>
      </c>
      <c r="I3836" s="4" t="s">
        <v>11513</v>
      </c>
      <c r="J3836" s="4" t="s">
        <v>12209</v>
      </c>
      <c r="K3836" s="4" t="s">
        <v>12210</v>
      </c>
      <c r="L3836" s="5">
        <v>56224</v>
      </c>
    </row>
    <row r="3837" spans="1:12" x14ac:dyDescent="0.25">
      <c r="A3837" s="3" t="s">
        <v>10786</v>
      </c>
      <c r="B3837" s="4" t="s">
        <v>11510</v>
      </c>
      <c r="C3837" s="4" t="s">
        <v>14</v>
      </c>
      <c r="D3837" s="4" t="s">
        <v>15</v>
      </c>
      <c r="E3837" s="5" t="str">
        <f>"9190076"</f>
        <v>9190076</v>
      </c>
      <c r="F3837" s="3" t="s">
        <v>12211</v>
      </c>
      <c r="G3837" s="5">
        <v>2310650761</v>
      </c>
      <c r="H3837" s="4" t="s">
        <v>12212</v>
      </c>
      <c r="I3837" s="4" t="s">
        <v>11513</v>
      </c>
      <c r="J3837" s="4" t="s">
        <v>11557</v>
      </c>
      <c r="K3837" s="4" t="s">
        <v>12213</v>
      </c>
      <c r="L3837" s="5">
        <v>56225</v>
      </c>
    </row>
    <row r="3838" spans="1:12" x14ac:dyDescent="0.25">
      <c r="A3838" s="3" t="s">
        <v>10786</v>
      </c>
      <c r="B3838" s="4" t="s">
        <v>11510</v>
      </c>
      <c r="C3838" s="4" t="s">
        <v>25</v>
      </c>
      <c r="D3838" s="4" t="s">
        <v>26</v>
      </c>
      <c r="E3838" s="5" t="str">
        <f>"9190287"</f>
        <v>9190287</v>
      </c>
      <c r="F3838" s="3" t="s">
        <v>12214</v>
      </c>
      <c r="G3838" s="5">
        <v>2310794925</v>
      </c>
      <c r="H3838" s="4" t="s">
        <v>12215</v>
      </c>
      <c r="I3838" s="4" t="s">
        <v>11640</v>
      </c>
      <c r="J3838" s="4" t="s">
        <v>11762</v>
      </c>
      <c r="K3838" s="4" t="s">
        <v>12216</v>
      </c>
      <c r="L3838" s="5">
        <v>57300</v>
      </c>
    </row>
    <row r="3839" spans="1:12" x14ac:dyDescent="0.25">
      <c r="A3839" s="3" t="s">
        <v>10786</v>
      </c>
      <c r="B3839" s="4" t="s">
        <v>11510</v>
      </c>
      <c r="C3839" s="4" t="s">
        <v>25</v>
      </c>
      <c r="D3839" s="4" t="s">
        <v>26</v>
      </c>
      <c r="E3839" s="5" t="str">
        <f>"9190478"</f>
        <v>9190478</v>
      </c>
      <c r="F3839" s="3" t="s">
        <v>12217</v>
      </c>
      <c r="G3839" s="5">
        <v>2310796504</v>
      </c>
      <c r="H3839" s="4" t="s">
        <v>12218</v>
      </c>
      <c r="I3839" s="4" t="s">
        <v>11640</v>
      </c>
      <c r="J3839" s="4" t="s">
        <v>12219</v>
      </c>
      <c r="K3839" s="4" t="s">
        <v>12220</v>
      </c>
      <c r="L3839" s="5">
        <v>57400</v>
      </c>
    </row>
    <row r="3840" spans="1:12" x14ac:dyDescent="0.25">
      <c r="A3840" s="3" t="s">
        <v>10786</v>
      </c>
      <c r="B3840" s="4" t="s">
        <v>11510</v>
      </c>
      <c r="C3840" s="4" t="s">
        <v>25</v>
      </c>
      <c r="D3840" s="4" t="s">
        <v>26</v>
      </c>
      <c r="E3840" s="5" t="str">
        <f>"9190275"</f>
        <v>9190275</v>
      </c>
      <c r="F3840" s="3" t="s">
        <v>12221</v>
      </c>
      <c r="G3840" s="5">
        <v>2310753668</v>
      </c>
      <c r="H3840" s="4" t="s">
        <v>12222</v>
      </c>
      <c r="I3840" s="4" t="s">
        <v>11640</v>
      </c>
      <c r="J3840" s="4" t="s">
        <v>12223</v>
      </c>
      <c r="K3840" s="4" t="s">
        <v>12224</v>
      </c>
      <c r="L3840" s="5">
        <v>57009</v>
      </c>
    </row>
    <row r="3841" spans="1:12" x14ac:dyDescent="0.25">
      <c r="A3841" s="3" t="s">
        <v>10786</v>
      </c>
      <c r="B3841" s="4" t="s">
        <v>11510</v>
      </c>
      <c r="C3841" s="4" t="s">
        <v>25</v>
      </c>
      <c r="D3841" s="4" t="s">
        <v>26</v>
      </c>
      <c r="E3841" s="5" t="str">
        <f>"9190610"</f>
        <v>9190610</v>
      </c>
      <c r="F3841" s="3" t="s">
        <v>12225</v>
      </c>
      <c r="G3841" s="5">
        <v>2310753403</v>
      </c>
      <c r="H3841" s="4" t="s">
        <v>12226</v>
      </c>
      <c r="I3841" s="4" t="s">
        <v>11640</v>
      </c>
      <c r="J3841" s="4" t="s">
        <v>12223</v>
      </c>
      <c r="K3841" s="4" t="s">
        <v>11942</v>
      </c>
      <c r="L3841" s="5">
        <v>57009</v>
      </c>
    </row>
    <row r="3842" spans="1:12" x14ac:dyDescent="0.25">
      <c r="A3842" s="3" t="s">
        <v>10786</v>
      </c>
      <c r="B3842" s="4" t="s">
        <v>11510</v>
      </c>
      <c r="C3842" s="4" t="s">
        <v>25</v>
      </c>
      <c r="D3842" s="4" t="s">
        <v>26</v>
      </c>
      <c r="E3842" s="5" t="str">
        <f>"9520666"</f>
        <v>9520666</v>
      </c>
      <c r="F3842" s="3" t="s">
        <v>12227</v>
      </c>
      <c r="G3842" s="5">
        <v>2310751400</v>
      </c>
      <c r="H3842" s="4" t="s">
        <v>12228</v>
      </c>
      <c r="I3842" s="4" t="s">
        <v>11640</v>
      </c>
      <c r="J3842" s="4" t="s">
        <v>12229</v>
      </c>
      <c r="K3842" s="4" t="s">
        <v>12230</v>
      </c>
      <c r="L3842" s="5">
        <v>54628</v>
      </c>
    </row>
    <row r="3843" spans="1:12" x14ac:dyDescent="0.25">
      <c r="A3843" s="3" t="s">
        <v>10786</v>
      </c>
      <c r="B3843" s="4" t="s">
        <v>11510</v>
      </c>
      <c r="C3843" s="4" t="s">
        <v>25</v>
      </c>
      <c r="D3843" s="4" t="s">
        <v>26</v>
      </c>
      <c r="E3843" s="5" t="str">
        <f>"9190295"</f>
        <v>9190295</v>
      </c>
      <c r="F3843" s="3" t="s">
        <v>12231</v>
      </c>
      <c r="G3843" s="5">
        <v>2310701923</v>
      </c>
      <c r="H3843" s="4" t="s">
        <v>12232</v>
      </c>
      <c r="I3843" s="4" t="s">
        <v>11575</v>
      </c>
      <c r="J3843" s="4" t="s">
        <v>11990</v>
      </c>
      <c r="K3843" s="4" t="s">
        <v>12233</v>
      </c>
      <c r="L3843" s="5">
        <v>57003</v>
      </c>
    </row>
    <row r="3844" spans="1:12" x14ac:dyDescent="0.25">
      <c r="A3844" s="3" t="s">
        <v>10786</v>
      </c>
      <c r="B3844" s="4" t="s">
        <v>11510</v>
      </c>
      <c r="C3844" s="4" t="s">
        <v>25</v>
      </c>
      <c r="D3844" s="4" t="s">
        <v>26</v>
      </c>
      <c r="E3844" s="5" t="str">
        <f>"9190303"</f>
        <v>9190303</v>
      </c>
      <c r="F3844" s="3" t="s">
        <v>12234</v>
      </c>
      <c r="G3844" s="5">
        <v>2310783917</v>
      </c>
      <c r="H3844" s="4" t="s">
        <v>12235</v>
      </c>
      <c r="I3844" s="4" t="s">
        <v>11640</v>
      </c>
      <c r="J3844" s="4" t="s">
        <v>11703</v>
      </c>
      <c r="K3844" s="4" t="s">
        <v>12236</v>
      </c>
      <c r="L3844" s="5">
        <v>57008</v>
      </c>
    </row>
    <row r="3845" spans="1:12" x14ac:dyDescent="0.25">
      <c r="A3845" s="3" t="s">
        <v>10786</v>
      </c>
      <c r="B3845" s="4" t="s">
        <v>11510</v>
      </c>
      <c r="C3845" s="4" t="s">
        <v>25</v>
      </c>
      <c r="D3845" s="4" t="s">
        <v>26</v>
      </c>
      <c r="E3845" s="5" t="str">
        <f>"9190827"</f>
        <v>9190827</v>
      </c>
      <c r="F3845" s="3" t="s">
        <v>12237</v>
      </c>
      <c r="G3845" s="5">
        <v>2310784454</v>
      </c>
      <c r="H3845" s="4" t="s">
        <v>12238</v>
      </c>
      <c r="I3845" s="4" t="s">
        <v>11640</v>
      </c>
      <c r="J3845" s="4" t="s">
        <v>12239</v>
      </c>
      <c r="K3845" s="4" t="s">
        <v>12240</v>
      </c>
      <c r="L3845" s="5">
        <v>57008</v>
      </c>
    </row>
    <row r="3846" spans="1:12" x14ac:dyDescent="0.25">
      <c r="A3846" s="3" t="s">
        <v>10786</v>
      </c>
      <c r="B3846" s="4" t="s">
        <v>11510</v>
      </c>
      <c r="C3846" s="4" t="s">
        <v>25</v>
      </c>
      <c r="D3846" s="4" t="s">
        <v>26</v>
      </c>
      <c r="E3846" s="5" t="str">
        <f>"9190698"</f>
        <v>9190698</v>
      </c>
      <c r="F3846" s="3" t="s">
        <v>12241</v>
      </c>
      <c r="G3846" s="5">
        <v>2310782378</v>
      </c>
      <c r="H3846" s="4" t="s">
        <v>12242</v>
      </c>
      <c r="I3846" s="4" t="s">
        <v>11640</v>
      </c>
      <c r="J3846" s="4" t="s">
        <v>12243</v>
      </c>
      <c r="K3846" s="4" t="s">
        <v>12244</v>
      </c>
      <c r="L3846" s="5">
        <v>57008</v>
      </c>
    </row>
    <row r="3847" spans="1:12" x14ac:dyDescent="0.25">
      <c r="A3847" s="3" t="s">
        <v>10786</v>
      </c>
      <c r="B3847" s="4" t="s">
        <v>11510</v>
      </c>
      <c r="C3847" s="4" t="s">
        <v>25</v>
      </c>
      <c r="D3847" s="4" t="s">
        <v>26</v>
      </c>
      <c r="E3847" s="5" t="str">
        <f>"9190813"</f>
        <v>9190813</v>
      </c>
      <c r="F3847" s="3" t="s">
        <v>12245</v>
      </c>
      <c r="G3847" s="5">
        <v>2391054154</v>
      </c>
      <c r="H3847" s="4" t="s">
        <v>12246</v>
      </c>
      <c r="I3847" s="4" t="s">
        <v>11575</v>
      </c>
      <c r="J3847" s="4" t="s">
        <v>11920</v>
      </c>
      <c r="K3847" s="4" t="s">
        <v>12247</v>
      </c>
      <c r="L3847" s="5">
        <v>57100</v>
      </c>
    </row>
    <row r="3848" spans="1:12" x14ac:dyDescent="0.25">
      <c r="A3848" s="3" t="s">
        <v>10786</v>
      </c>
      <c r="B3848" s="4" t="s">
        <v>11510</v>
      </c>
      <c r="C3848" s="4" t="s">
        <v>25</v>
      </c>
      <c r="D3848" s="4" t="s">
        <v>26</v>
      </c>
      <c r="E3848" s="5" t="str">
        <f>"9190291"</f>
        <v>9190291</v>
      </c>
      <c r="F3848" s="3" t="s">
        <v>12248</v>
      </c>
      <c r="G3848" s="5">
        <v>2310796503</v>
      </c>
      <c r="H3848" s="4" t="s">
        <v>12249</v>
      </c>
      <c r="I3848" s="4" t="s">
        <v>11640</v>
      </c>
      <c r="J3848" s="4" t="s">
        <v>12219</v>
      </c>
      <c r="K3848" s="4" t="s">
        <v>12250</v>
      </c>
      <c r="L3848" s="5">
        <v>57400</v>
      </c>
    </row>
    <row r="3849" spans="1:12" x14ac:dyDescent="0.25">
      <c r="A3849" s="3" t="s">
        <v>10786</v>
      </c>
      <c r="B3849" s="4" t="s">
        <v>11510</v>
      </c>
      <c r="C3849" s="4" t="s">
        <v>25</v>
      </c>
      <c r="D3849" s="4" t="s">
        <v>26</v>
      </c>
      <c r="E3849" s="5" t="str">
        <f>"9190749"</f>
        <v>9190749</v>
      </c>
      <c r="F3849" s="3" t="s">
        <v>12251</v>
      </c>
      <c r="G3849" s="5">
        <v>2310796112</v>
      </c>
      <c r="H3849" s="4" t="s">
        <v>12252</v>
      </c>
      <c r="I3849" s="4" t="s">
        <v>11640</v>
      </c>
      <c r="J3849" s="4" t="s">
        <v>12219</v>
      </c>
      <c r="K3849" s="4" t="s">
        <v>12253</v>
      </c>
      <c r="L3849" s="5">
        <v>57400</v>
      </c>
    </row>
    <row r="3850" spans="1:12" x14ac:dyDescent="0.25">
      <c r="A3850" s="3" t="s">
        <v>10786</v>
      </c>
      <c r="B3850" s="4" t="s">
        <v>11510</v>
      </c>
      <c r="C3850" s="4" t="s">
        <v>14</v>
      </c>
      <c r="D3850" s="4" t="s">
        <v>15</v>
      </c>
      <c r="E3850" s="5" t="str">
        <f>"9190850"</f>
        <v>9190850</v>
      </c>
      <c r="F3850" s="3" t="s">
        <v>12254</v>
      </c>
      <c r="G3850" s="5">
        <v>2310737426</v>
      </c>
      <c r="H3850" s="4" t="s">
        <v>12255</v>
      </c>
      <c r="I3850" s="4" t="s">
        <v>11616</v>
      </c>
      <c r="J3850" s="4" t="s">
        <v>10361</v>
      </c>
      <c r="K3850" s="4" t="s">
        <v>12256</v>
      </c>
      <c r="L3850" s="5">
        <v>56123</v>
      </c>
    </row>
    <row r="3851" spans="1:12" x14ac:dyDescent="0.25">
      <c r="A3851" s="3" t="s">
        <v>10786</v>
      </c>
      <c r="B3851" s="4" t="s">
        <v>11510</v>
      </c>
      <c r="C3851" s="4" t="s">
        <v>14</v>
      </c>
      <c r="D3851" s="4" t="s">
        <v>15</v>
      </c>
      <c r="E3851" s="5" t="str">
        <f>"9190906"</f>
        <v>9190906</v>
      </c>
      <c r="F3851" s="3" t="s">
        <v>12257</v>
      </c>
      <c r="G3851" s="5">
        <v>2310640101</v>
      </c>
      <c r="H3851" s="4" t="s">
        <v>12258</v>
      </c>
      <c r="I3851" s="4" t="s">
        <v>11513</v>
      </c>
      <c r="J3851" s="4" t="s">
        <v>11557</v>
      </c>
      <c r="K3851" s="4" t="s">
        <v>11743</v>
      </c>
      <c r="L3851" s="5">
        <v>56225</v>
      </c>
    </row>
    <row r="3852" spans="1:12" x14ac:dyDescent="0.25">
      <c r="A3852" s="3" t="s">
        <v>10786</v>
      </c>
      <c r="B3852" s="4" t="s">
        <v>11510</v>
      </c>
      <c r="C3852" s="4" t="s">
        <v>14</v>
      </c>
      <c r="D3852" s="4" t="s">
        <v>15</v>
      </c>
      <c r="E3852" s="5" t="str">
        <f>"9190072"</f>
        <v>9190072</v>
      </c>
      <c r="F3852" s="3" t="s">
        <v>12259</v>
      </c>
      <c r="G3852" s="5">
        <v>2310651634</v>
      </c>
      <c r="H3852" s="4" t="s">
        <v>12260</v>
      </c>
      <c r="I3852" s="4" t="s">
        <v>11564</v>
      </c>
      <c r="J3852" s="4" t="s">
        <v>11731</v>
      </c>
      <c r="K3852" s="4" t="s">
        <v>11732</v>
      </c>
      <c r="L3852" s="5">
        <v>56535</v>
      </c>
    </row>
    <row r="3853" spans="1:12" x14ac:dyDescent="0.25">
      <c r="A3853" s="3" t="s">
        <v>10786</v>
      </c>
      <c r="B3853" s="4" t="s">
        <v>11510</v>
      </c>
      <c r="C3853" s="4" t="s">
        <v>14</v>
      </c>
      <c r="D3853" s="4" t="s">
        <v>15</v>
      </c>
      <c r="E3853" s="5" t="str">
        <f>"9190918"</f>
        <v>9190918</v>
      </c>
      <c r="F3853" s="3" t="s">
        <v>12261</v>
      </c>
      <c r="G3853" s="5">
        <v>2310587802</v>
      </c>
      <c r="H3853" s="4" t="s">
        <v>12262</v>
      </c>
      <c r="I3853" s="4" t="s">
        <v>11513</v>
      </c>
      <c r="J3853" s="4" t="s">
        <v>11557</v>
      </c>
      <c r="K3853" s="4" t="s">
        <v>12263</v>
      </c>
      <c r="L3853" s="5">
        <v>56224</v>
      </c>
    </row>
    <row r="3854" spans="1:12" x14ac:dyDescent="0.25">
      <c r="A3854" s="3" t="s">
        <v>10786</v>
      </c>
      <c r="B3854" s="4" t="s">
        <v>11510</v>
      </c>
      <c r="C3854" s="4" t="s">
        <v>14</v>
      </c>
      <c r="D3854" s="4" t="s">
        <v>15</v>
      </c>
      <c r="E3854" s="5" t="str">
        <f>"9520598"</f>
        <v>9520598</v>
      </c>
      <c r="F3854" s="3" t="s">
        <v>12264</v>
      </c>
      <c r="G3854" s="5">
        <v>2310775400</v>
      </c>
      <c r="H3854" s="4" t="s">
        <v>12265</v>
      </c>
      <c r="I3854" s="4" t="s">
        <v>11513</v>
      </c>
      <c r="J3854" s="4" t="s">
        <v>11557</v>
      </c>
      <c r="K3854" s="4" t="s">
        <v>12266</v>
      </c>
      <c r="L3854" s="5">
        <v>56224</v>
      </c>
    </row>
    <row r="3855" spans="1:12" ht="45" x14ac:dyDescent="0.25">
      <c r="A3855" s="3" t="s">
        <v>10786</v>
      </c>
      <c r="B3855" s="4" t="s">
        <v>11510</v>
      </c>
      <c r="C3855" s="4" t="s">
        <v>14</v>
      </c>
      <c r="D3855" s="4" t="s">
        <v>830</v>
      </c>
      <c r="E3855" s="5" t="str">
        <f>"9190130"</f>
        <v>9190130</v>
      </c>
      <c r="F3855" s="3" t="s">
        <v>12267</v>
      </c>
      <c r="G3855" s="5">
        <v>2310703788</v>
      </c>
      <c r="H3855" s="4" t="s">
        <v>12268</v>
      </c>
      <c r="I3855" s="4" t="s">
        <v>11513</v>
      </c>
      <c r="J3855" s="4" t="s">
        <v>11557</v>
      </c>
      <c r="K3855" s="4" t="s">
        <v>12269</v>
      </c>
      <c r="L3855" s="5">
        <v>56224</v>
      </c>
    </row>
    <row r="3856" spans="1:12" x14ac:dyDescent="0.25">
      <c r="A3856" s="3" t="s">
        <v>10786</v>
      </c>
      <c r="B3856" s="4" t="s">
        <v>11510</v>
      </c>
      <c r="C3856" s="4" t="s">
        <v>14</v>
      </c>
      <c r="D3856" s="4" t="s">
        <v>15</v>
      </c>
      <c r="E3856" s="5" t="str">
        <f>"9190304"</f>
        <v>9190304</v>
      </c>
      <c r="F3856" s="3" t="s">
        <v>12270</v>
      </c>
      <c r="G3856" s="5">
        <v>2310781751</v>
      </c>
      <c r="H3856" s="4" t="s">
        <v>12271</v>
      </c>
      <c r="I3856" s="4" t="s">
        <v>11640</v>
      </c>
      <c r="J3856" s="4" t="s">
        <v>11703</v>
      </c>
      <c r="K3856" s="4" t="s">
        <v>12272</v>
      </c>
      <c r="L3856" s="5">
        <v>57008</v>
      </c>
    </row>
    <row r="3857" spans="1:12" x14ac:dyDescent="0.25">
      <c r="A3857" s="3" t="s">
        <v>10786</v>
      </c>
      <c r="B3857" s="4" t="s">
        <v>11510</v>
      </c>
      <c r="C3857" s="4" t="s">
        <v>14</v>
      </c>
      <c r="D3857" s="4" t="s">
        <v>15</v>
      </c>
      <c r="E3857" s="5" t="str">
        <f>"9190646"</f>
        <v>9190646</v>
      </c>
      <c r="F3857" s="3" t="s">
        <v>12273</v>
      </c>
      <c r="G3857" s="5">
        <v>2310667848</v>
      </c>
      <c r="H3857" s="4" t="s">
        <v>12274</v>
      </c>
      <c r="I3857" s="4" t="s">
        <v>11564</v>
      </c>
      <c r="J3857" s="4" t="s">
        <v>11731</v>
      </c>
      <c r="K3857" s="4" t="s">
        <v>12275</v>
      </c>
      <c r="L3857" s="5">
        <v>56533</v>
      </c>
    </row>
    <row r="3858" spans="1:12" x14ac:dyDescent="0.25">
      <c r="A3858" s="3" t="s">
        <v>10786</v>
      </c>
      <c r="B3858" s="4" t="s">
        <v>11510</v>
      </c>
      <c r="C3858" s="4" t="s">
        <v>14</v>
      </c>
      <c r="D3858" s="4" t="s">
        <v>15</v>
      </c>
      <c r="E3858" s="5" t="str">
        <f>"9520599"</f>
        <v>9520599</v>
      </c>
      <c r="F3858" s="3" t="s">
        <v>12276</v>
      </c>
      <c r="G3858" s="5">
        <v>2310759117</v>
      </c>
      <c r="H3858" s="4" t="s">
        <v>12277</v>
      </c>
      <c r="I3858" s="4" t="s">
        <v>11513</v>
      </c>
      <c r="J3858" s="4" t="s">
        <v>11557</v>
      </c>
      <c r="K3858" s="4" t="s">
        <v>12278</v>
      </c>
      <c r="L3858" s="5">
        <v>56226</v>
      </c>
    </row>
    <row r="3859" spans="1:12" x14ac:dyDescent="0.25">
      <c r="A3859" s="3" t="s">
        <v>10786</v>
      </c>
      <c r="B3859" s="4" t="s">
        <v>11510</v>
      </c>
      <c r="C3859" s="4" t="s">
        <v>14</v>
      </c>
      <c r="D3859" s="4" t="s">
        <v>15</v>
      </c>
      <c r="E3859" s="5" t="str">
        <f>"9520600"</f>
        <v>9520600</v>
      </c>
      <c r="F3859" s="3" t="s">
        <v>12279</v>
      </c>
      <c r="G3859" s="5">
        <v>2310587637</v>
      </c>
      <c r="H3859" s="4" t="s">
        <v>12280</v>
      </c>
      <c r="I3859" s="4" t="s">
        <v>11513</v>
      </c>
      <c r="J3859" s="4" t="s">
        <v>11557</v>
      </c>
      <c r="K3859" s="4" t="s">
        <v>12281</v>
      </c>
      <c r="L3859" s="5">
        <v>56224</v>
      </c>
    </row>
    <row r="3860" spans="1:12" x14ac:dyDescent="0.25">
      <c r="A3860" s="3" t="s">
        <v>10786</v>
      </c>
      <c r="B3860" s="4" t="s">
        <v>11510</v>
      </c>
      <c r="C3860" s="4" t="s">
        <v>14</v>
      </c>
      <c r="D3860" s="4" t="s">
        <v>15</v>
      </c>
      <c r="E3860" s="5" t="str">
        <f>"9190071"</f>
        <v>9190071</v>
      </c>
      <c r="F3860" s="3" t="s">
        <v>12282</v>
      </c>
      <c r="G3860" s="5">
        <v>2310654739</v>
      </c>
      <c r="H3860" s="4" t="s">
        <v>12283</v>
      </c>
      <c r="I3860" s="4" t="s">
        <v>11564</v>
      </c>
      <c r="J3860" s="4" t="s">
        <v>11731</v>
      </c>
      <c r="K3860" s="4" t="s">
        <v>12284</v>
      </c>
      <c r="L3860" s="5">
        <v>56533</v>
      </c>
    </row>
    <row r="3861" spans="1:12" x14ac:dyDescent="0.25">
      <c r="A3861" s="3" t="s">
        <v>10786</v>
      </c>
      <c r="B3861" s="4" t="s">
        <v>11510</v>
      </c>
      <c r="C3861" s="4" t="s">
        <v>14</v>
      </c>
      <c r="D3861" s="4" t="s">
        <v>15</v>
      </c>
      <c r="E3861" s="5" t="str">
        <f>"9190062"</f>
        <v>9190062</v>
      </c>
      <c r="F3861" s="3" t="s">
        <v>12285</v>
      </c>
      <c r="G3861" s="5">
        <v>2310527771</v>
      </c>
      <c r="H3861" s="4" t="s">
        <v>12286</v>
      </c>
      <c r="I3861" s="4" t="s">
        <v>11651</v>
      </c>
      <c r="J3861" s="4" t="s">
        <v>746</v>
      </c>
      <c r="K3861" s="4" t="s">
        <v>12287</v>
      </c>
      <c r="L3861" s="5">
        <v>56727</v>
      </c>
    </row>
    <row r="3862" spans="1:12" x14ac:dyDescent="0.25">
      <c r="A3862" s="3" t="s">
        <v>10786</v>
      </c>
      <c r="B3862" s="4" t="s">
        <v>11510</v>
      </c>
      <c r="C3862" s="4" t="s">
        <v>14</v>
      </c>
      <c r="D3862" s="4" t="s">
        <v>15</v>
      </c>
      <c r="E3862" s="5" t="str">
        <f>"9520670"</f>
        <v>9520670</v>
      </c>
      <c r="F3862" s="3" t="s">
        <v>12288</v>
      </c>
      <c r="G3862" s="5">
        <v>2310652481</v>
      </c>
      <c r="H3862" s="4" t="s">
        <v>12289</v>
      </c>
      <c r="I3862" s="4" t="s">
        <v>11513</v>
      </c>
      <c r="J3862" s="4" t="s">
        <v>11557</v>
      </c>
      <c r="K3862" s="4" t="s">
        <v>12290</v>
      </c>
      <c r="L3862" s="5">
        <v>56224</v>
      </c>
    </row>
    <row r="3863" spans="1:12" x14ac:dyDescent="0.25">
      <c r="A3863" s="3" t="s">
        <v>10786</v>
      </c>
      <c r="B3863" s="4" t="s">
        <v>11510</v>
      </c>
      <c r="C3863" s="4" t="s">
        <v>14</v>
      </c>
      <c r="D3863" s="4" t="s">
        <v>15</v>
      </c>
      <c r="E3863" s="5" t="str">
        <f>"9520747"</f>
        <v>9520747</v>
      </c>
      <c r="F3863" s="3" t="s">
        <v>12291</v>
      </c>
      <c r="G3863" s="5">
        <v>2310770471</v>
      </c>
      <c r="H3863" s="4" t="s">
        <v>12292</v>
      </c>
      <c r="I3863" s="4" t="s">
        <v>11513</v>
      </c>
      <c r="J3863" s="4" t="s">
        <v>11557</v>
      </c>
      <c r="K3863" s="4" t="s">
        <v>12293</v>
      </c>
      <c r="L3863" s="5">
        <v>56224</v>
      </c>
    </row>
    <row r="3864" spans="1:12" x14ac:dyDescent="0.25">
      <c r="A3864" s="3" t="s">
        <v>10786</v>
      </c>
      <c r="B3864" s="4" t="s">
        <v>11510</v>
      </c>
      <c r="C3864" s="4" t="s">
        <v>14</v>
      </c>
      <c r="D3864" s="4" t="s">
        <v>15</v>
      </c>
      <c r="E3864" s="5" t="str">
        <f>"9520877"</f>
        <v>9520877</v>
      </c>
      <c r="F3864" s="3" t="s">
        <v>12294</v>
      </c>
      <c r="G3864" s="5">
        <v>2310763661</v>
      </c>
      <c r="H3864" s="4" t="s">
        <v>12295</v>
      </c>
      <c r="I3864" s="4" t="s">
        <v>11513</v>
      </c>
      <c r="J3864" s="4" t="s">
        <v>11557</v>
      </c>
      <c r="K3864" s="4" t="s">
        <v>12296</v>
      </c>
      <c r="L3864" s="5">
        <v>56224</v>
      </c>
    </row>
    <row r="3865" spans="1:12" x14ac:dyDescent="0.25">
      <c r="A3865" s="3" t="s">
        <v>10786</v>
      </c>
      <c r="B3865" s="4" t="s">
        <v>11510</v>
      </c>
      <c r="C3865" s="4" t="s">
        <v>14</v>
      </c>
      <c r="D3865" s="4" t="s">
        <v>15</v>
      </c>
      <c r="E3865" s="5" t="str">
        <f>"9190554"</f>
        <v>9190554</v>
      </c>
      <c r="F3865" s="3" t="s">
        <v>12297</v>
      </c>
      <c r="G3865" s="5">
        <v>2310615012</v>
      </c>
      <c r="H3865" s="4" t="s">
        <v>12298</v>
      </c>
      <c r="I3865" s="4" t="s">
        <v>11651</v>
      </c>
      <c r="J3865" s="4" t="s">
        <v>746</v>
      </c>
      <c r="K3865" s="4" t="s">
        <v>12299</v>
      </c>
      <c r="L3865" s="5">
        <v>56728</v>
      </c>
    </row>
    <row r="3866" spans="1:12" x14ac:dyDescent="0.25">
      <c r="A3866" s="3" t="s">
        <v>10786</v>
      </c>
      <c r="B3866" s="4" t="s">
        <v>11510</v>
      </c>
      <c r="C3866" s="4" t="s">
        <v>14</v>
      </c>
      <c r="D3866" s="4" t="s">
        <v>15</v>
      </c>
      <c r="E3866" s="5" t="str">
        <f>"9190165"</f>
        <v>9190165</v>
      </c>
      <c r="F3866" s="3" t="s">
        <v>12300</v>
      </c>
      <c r="G3866" s="5">
        <v>2310614700</v>
      </c>
      <c r="H3866" s="4" t="s">
        <v>12301</v>
      </c>
      <c r="I3866" s="4" t="s">
        <v>11651</v>
      </c>
      <c r="J3866" s="4" t="s">
        <v>10813</v>
      </c>
      <c r="K3866" s="4" t="s">
        <v>11669</v>
      </c>
      <c r="L3866" s="5">
        <v>56626</v>
      </c>
    </row>
    <row r="3867" spans="1:12" x14ac:dyDescent="0.25">
      <c r="A3867" s="3" t="s">
        <v>10786</v>
      </c>
      <c r="B3867" s="4" t="s">
        <v>11510</v>
      </c>
      <c r="C3867" s="4" t="s">
        <v>14</v>
      </c>
      <c r="D3867" s="4" t="s">
        <v>15</v>
      </c>
      <c r="E3867" s="5" t="str">
        <f>"9190863"</f>
        <v>9190863</v>
      </c>
      <c r="F3867" s="3" t="s">
        <v>12302</v>
      </c>
      <c r="G3867" s="5">
        <v>2310669041</v>
      </c>
      <c r="H3867" s="4" t="s">
        <v>12303</v>
      </c>
      <c r="I3867" s="4" t="s">
        <v>11564</v>
      </c>
      <c r="J3867" s="4" t="s">
        <v>11731</v>
      </c>
      <c r="K3867" s="4" t="s">
        <v>12304</v>
      </c>
      <c r="L3867" s="5">
        <v>56533</v>
      </c>
    </row>
    <row r="3868" spans="1:12" x14ac:dyDescent="0.25">
      <c r="A3868" s="3" t="s">
        <v>10786</v>
      </c>
      <c r="B3868" s="4" t="s">
        <v>11510</v>
      </c>
      <c r="C3868" s="4" t="s">
        <v>14</v>
      </c>
      <c r="D3868" s="4" t="s">
        <v>15</v>
      </c>
      <c r="E3868" s="5" t="str">
        <f>"9190066"</f>
        <v>9190066</v>
      </c>
      <c r="F3868" s="3" t="s">
        <v>12305</v>
      </c>
      <c r="G3868" s="5">
        <v>2310612345</v>
      </c>
      <c r="H3868" s="4" t="s">
        <v>12306</v>
      </c>
      <c r="I3868" s="4" t="s">
        <v>11651</v>
      </c>
      <c r="J3868" s="4" t="s">
        <v>11873</v>
      </c>
      <c r="K3868" s="4" t="s">
        <v>12307</v>
      </c>
      <c r="L3868" s="5">
        <v>56626</v>
      </c>
    </row>
    <row r="3869" spans="1:12" x14ac:dyDescent="0.25">
      <c r="A3869" s="3" t="s">
        <v>10786</v>
      </c>
      <c r="B3869" s="4" t="s">
        <v>11510</v>
      </c>
      <c r="C3869" s="4" t="s">
        <v>14</v>
      </c>
      <c r="D3869" s="4" t="s">
        <v>15</v>
      </c>
      <c r="E3869" s="5" t="str">
        <f>"9190763"</f>
        <v>9190763</v>
      </c>
      <c r="F3869" s="3" t="s">
        <v>12308</v>
      </c>
      <c r="G3869" s="5">
        <v>2310214315</v>
      </c>
      <c r="H3869" s="4" t="s">
        <v>12309</v>
      </c>
      <c r="I3869" s="4" t="s">
        <v>11651</v>
      </c>
      <c r="J3869" s="4" t="s">
        <v>11873</v>
      </c>
      <c r="K3869" s="4" t="s">
        <v>12310</v>
      </c>
      <c r="L3869" s="5">
        <v>56626</v>
      </c>
    </row>
    <row r="3870" spans="1:12" x14ac:dyDescent="0.25">
      <c r="A3870" s="3" t="s">
        <v>10786</v>
      </c>
      <c r="B3870" s="4" t="s">
        <v>11510</v>
      </c>
      <c r="C3870" s="4" t="s">
        <v>14</v>
      </c>
      <c r="D3870" s="4" t="s">
        <v>15</v>
      </c>
      <c r="E3870" s="5" t="str">
        <f>"9190068"</f>
        <v>9190068</v>
      </c>
      <c r="F3870" s="3" t="s">
        <v>12311</v>
      </c>
      <c r="G3870" s="5">
        <v>2310650343</v>
      </c>
      <c r="H3870" s="4" t="s">
        <v>12312</v>
      </c>
      <c r="I3870" s="4" t="s">
        <v>11564</v>
      </c>
      <c r="J3870" s="4" t="s">
        <v>12313</v>
      </c>
      <c r="K3870" s="4" t="s">
        <v>11660</v>
      </c>
      <c r="L3870" s="5">
        <v>56429</v>
      </c>
    </row>
    <row r="3871" spans="1:12" x14ac:dyDescent="0.25">
      <c r="A3871" s="3" t="s">
        <v>10786</v>
      </c>
      <c r="B3871" s="4" t="s">
        <v>11510</v>
      </c>
      <c r="C3871" s="4" t="s">
        <v>14</v>
      </c>
      <c r="D3871" s="4" t="s">
        <v>15</v>
      </c>
      <c r="E3871" s="5" t="str">
        <f>"9190067"</f>
        <v>9190067</v>
      </c>
      <c r="F3871" s="3" t="s">
        <v>12314</v>
      </c>
      <c r="G3871" s="5">
        <v>2310511675</v>
      </c>
      <c r="H3871" s="4" t="s">
        <v>12315</v>
      </c>
      <c r="I3871" s="4" t="s">
        <v>11651</v>
      </c>
      <c r="J3871" s="4" t="s">
        <v>746</v>
      </c>
      <c r="K3871" s="4" t="s">
        <v>12287</v>
      </c>
      <c r="L3871" s="5">
        <v>56727</v>
      </c>
    </row>
    <row r="3872" spans="1:12" x14ac:dyDescent="0.25">
      <c r="A3872" s="3" t="s">
        <v>10786</v>
      </c>
      <c r="B3872" s="4" t="s">
        <v>11510</v>
      </c>
      <c r="C3872" s="4" t="s">
        <v>14</v>
      </c>
      <c r="D3872" s="4" t="s">
        <v>15</v>
      </c>
      <c r="E3872" s="5" t="str">
        <f>"9190069"</f>
        <v>9190069</v>
      </c>
      <c r="F3872" s="3" t="s">
        <v>12316</v>
      </c>
      <c r="G3872" s="5">
        <v>2310672907</v>
      </c>
      <c r="H3872" s="4" t="s">
        <v>12317</v>
      </c>
      <c r="I3872" s="4" t="s">
        <v>11564</v>
      </c>
      <c r="J3872" s="4" t="s">
        <v>11731</v>
      </c>
      <c r="K3872" s="4" t="s">
        <v>12318</v>
      </c>
      <c r="L3872" s="5">
        <v>56533</v>
      </c>
    </row>
    <row r="3873" spans="1:12" x14ac:dyDescent="0.25">
      <c r="A3873" s="3" t="s">
        <v>10786</v>
      </c>
      <c r="B3873" s="4" t="s">
        <v>11510</v>
      </c>
      <c r="C3873" s="4" t="s">
        <v>14</v>
      </c>
      <c r="D3873" s="4" t="s">
        <v>15</v>
      </c>
      <c r="E3873" s="5" t="str">
        <f>"9190166"</f>
        <v>9190166</v>
      </c>
      <c r="F3873" s="3" t="s">
        <v>12319</v>
      </c>
      <c r="G3873" s="5">
        <v>2310218820</v>
      </c>
      <c r="H3873" s="4" t="s">
        <v>12320</v>
      </c>
      <c r="I3873" s="4" t="s">
        <v>11651</v>
      </c>
      <c r="J3873" s="4" t="s">
        <v>11873</v>
      </c>
      <c r="K3873" s="4" t="s">
        <v>12321</v>
      </c>
      <c r="L3873" s="5">
        <v>56626</v>
      </c>
    </row>
    <row r="3874" spans="1:12" x14ac:dyDescent="0.25">
      <c r="A3874" s="3" t="s">
        <v>10786</v>
      </c>
      <c r="B3874" s="4" t="s">
        <v>11510</v>
      </c>
      <c r="C3874" s="4" t="s">
        <v>14</v>
      </c>
      <c r="D3874" s="4" t="s">
        <v>15</v>
      </c>
      <c r="E3874" s="5" t="str">
        <f>"9190862"</f>
        <v>9190862</v>
      </c>
      <c r="F3874" s="3" t="s">
        <v>12322</v>
      </c>
      <c r="G3874" s="5">
        <v>2310631853</v>
      </c>
      <c r="H3874" s="4" t="s">
        <v>12323</v>
      </c>
      <c r="I3874" s="4" t="s">
        <v>11651</v>
      </c>
      <c r="J3874" s="4" t="s">
        <v>11818</v>
      </c>
      <c r="K3874" s="4" t="s">
        <v>11819</v>
      </c>
      <c r="L3874" s="5">
        <v>56626</v>
      </c>
    </row>
    <row r="3875" spans="1:12" x14ac:dyDescent="0.25">
      <c r="A3875" s="3" t="s">
        <v>10786</v>
      </c>
      <c r="B3875" s="4" t="s">
        <v>11510</v>
      </c>
      <c r="C3875" s="4" t="s">
        <v>14</v>
      </c>
      <c r="D3875" s="4" t="s">
        <v>960</v>
      </c>
      <c r="E3875" s="5" t="str">
        <f>"9190154"</f>
        <v>9190154</v>
      </c>
      <c r="F3875" s="3" t="s">
        <v>12324</v>
      </c>
      <c r="G3875" s="5">
        <v>2310763945</v>
      </c>
      <c r="H3875" s="4" t="s">
        <v>12325</v>
      </c>
      <c r="I3875" s="4" t="s">
        <v>11616</v>
      </c>
      <c r="J3875" s="4" t="s">
        <v>11672</v>
      </c>
      <c r="K3875" s="4" t="s">
        <v>12326</v>
      </c>
      <c r="L3875" s="5">
        <v>54628</v>
      </c>
    </row>
    <row r="3876" spans="1:12" x14ac:dyDescent="0.25">
      <c r="A3876" s="3" t="s">
        <v>10786</v>
      </c>
      <c r="B3876" s="4" t="s">
        <v>11510</v>
      </c>
      <c r="C3876" s="4" t="s">
        <v>14</v>
      </c>
      <c r="D3876" s="4" t="s">
        <v>15</v>
      </c>
      <c r="E3876" s="5" t="str">
        <f>"9190423"</f>
        <v>9190423</v>
      </c>
      <c r="F3876" s="3" t="s">
        <v>12327</v>
      </c>
      <c r="G3876" s="5">
        <v>2310545484</v>
      </c>
      <c r="H3876" s="4" t="s">
        <v>12328</v>
      </c>
      <c r="I3876" s="4" t="s">
        <v>11651</v>
      </c>
      <c r="J3876" s="4" t="s">
        <v>746</v>
      </c>
      <c r="K3876" s="4" t="s">
        <v>12329</v>
      </c>
      <c r="L3876" s="5">
        <v>56727</v>
      </c>
    </row>
    <row r="3877" spans="1:12" x14ac:dyDescent="0.25">
      <c r="A3877" s="3" t="s">
        <v>10786</v>
      </c>
      <c r="B3877" s="4" t="s">
        <v>11510</v>
      </c>
      <c r="C3877" s="4" t="s">
        <v>14</v>
      </c>
      <c r="D3877" s="4" t="s">
        <v>15</v>
      </c>
      <c r="E3877" s="5" t="str">
        <f>"9521096"</f>
        <v>9521096</v>
      </c>
      <c r="F3877" s="3" t="s">
        <v>12330</v>
      </c>
      <c r="G3877" s="5">
        <v>2310641090</v>
      </c>
      <c r="H3877" s="4" t="s">
        <v>12331</v>
      </c>
      <c r="I3877" s="4" t="s">
        <v>11513</v>
      </c>
      <c r="J3877" s="4" t="s">
        <v>11557</v>
      </c>
      <c r="K3877" s="4" t="s">
        <v>12213</v>
      </c>
      <c r="L3877" s="5">
        <v>56225</v>
      </c>
    </row>
    <row r="3878" spans="1:12" x14ac:dyDescent="0.25">
      <c r="A3878" s="3" t="s">
        <v>10786</v>
      </c>
      <c r="B3878" s="4" t="s">
        <v>11510</v>
      </c>
      <c r="C3878" s="4" t="s">
        <v>14</v>
      </c>
      <c r="D3878" s="4" t="s">
        <v>15</v>
      </c>
      <c r="E3878" s="5" t="str">
        <f>"9521097"</f>
        <v>9521097</v>
      </c>
      <c r="F3878" s="3" t="s">
        <v>12332</v>
      </c>
      <c r="G3878" s="5">
        <v>2310700313</v>
      </c>
      <c r="H3878" s="4" t="s">
        <v>12333</v>
      </c>
      <c r="I3878" s="4" t="s">
        <v>11513</v>
      </c>
      <c r="J3878" s="4" t="s">
        <v>11518</v>
      </c>
      <c r="K3878" s="4" t="s">
        <v>12278</v>
      </c>
      <c r="L3878" s="5">
        <v>56226</v>
      </c>
    </row>
    <row r="3879" spans="1:12" x14ac:dyDescent="0.25">
      <c r="A3879" s="3" t="s">
        <v>10786</v>
      </c>
      <c r="B3879" s="4" t="s">
        <v>11510</v>
      </c>
      <c r="C3879" s="4" t="s">
        <v>14</v>
      </c>
      <c r="D3879" s="4" t="s">
        <v>15</v>
      </c>
      <c r="E3879" s="5" t="str">
        <f>"9521103"</f>
        <v>9521103</v>
      </c>
      <c r="F3879" s="3" t="s">
        <v>12334</v>
      </c>
      <c r="G3879" s="5">
        <v>2310688161</v>
      </c>
      <c r="H3879" s="4" t="s">
        <v>12335</v>
      </c>
      <c r="I3879" s="4" t="s">
        <v>11564</v>
      </c>
      <c r="J3879" s="4" t="s">
        <v>11645</v>
      </c>
      <c r="K3879" s="4" t="s">
        <v>12336</v>
      </c>
      <c r="L3879" s="5">
        <v>56429</v>
      </c>
    </row>
    <row r="3880" spans="1:12" x14ac:dyDescent="0.25">
      <c r="A3880" s="3" t="s">
        <v>10786</v>
      </c>
      <c r="B3880" s="4" t="s">
        <v>11510</v>
      </c>
      <c r="C3880" s="4" t="s">
        <v>25</v>
      </c>
      <c r="D3880" s="4" t="s">
        <v>26</v>
      </c>
      <c r="E3880" s="5" t="str">
        <f>"9521107"</f>
        <v>9521107</v>
      </c>
      <c r="F3880" s="3" t="s">
        <v>12337</v>
      </c>
      <c r="G3880" s="5">
        <v>2310690673</v>
      </c>
      <c r="H3880" s="4" t="s">
        <v>12338</v>
      </c>
      <c r="I3880" s="4" t="s">
        <v>11635</v>
      </c>
      <c r="J3880" s="4" t="s">
        <v>11691</v>
      </c>
      <c r="K3880" s="4" t="s">
        <v>12339</v>
      </c>
      <c r="L3880" s="5">
        <v>57013</v>
      </c>
    </row>
    <row r="3881" spans="1:12" x14ac:dyDescent="0.25">
      <c r="A3881" s="3" t="s">
        <v>10786</v>
      </c>
      <c r="B3881" s="4" t="s">
        <v>11510</v>
      </c>
      <c r="C3881" s="4" t="s">
        <v>25</v>
      </c>
      <c r="D3881" s="4" t="s">
        <v>26</v>
      </c>
      <c r="E3881" s="5" t="str">
        <f>"9521105"</f>
        <v>9521105</v>
      </c>
      <c r="F3881" s="3" t="s">
        <v>12340</v>
      </c>
      <c r="G3881" s="5">
        <v>2310686787</v>
      </c>
      <c r="H3881" s="4" t="s">
        <v>12341</v>
      </c>
      <c r="I3881" s="4" t="s">
        <v>11564</v>
      </c>
      <c r="J3881" s="4" t="s">
        <v>12088</v>
      </c>
      <c r="K3881" s="4" t="s">
        <v>12342</v>
      </c>
      <c r="L3881" s="5">
        <v>56429</v>
      </c>
    </row>
    <row r="3882" spans="1:12" x14ac:dyDescent="0.25">
      <c r="A3882" s="3" t="s">
        <v>10786</v>
      </c>
      <c r="B3882" s="4" t="s">
        <v>11510</v>
      </c>
      <c r="C3882" s="4" t="s">
        <v>25</v>
      </c>
      <c r="D3882" s="4" t="s">
        <v>26</v>
      </c>
      <c r="E3882" s="5" t="str">
        <f>"9521112"</f>
        <v>9521112</v>
      </c>
      <c r="F3882" s="3" t="s">
        <v>12343</v>
      </c>
      <c r="G3882" s="5">
        <v>2310676498</v>
      </c>
      <c r="H3882" s="4" t="s">
        <v>12344</v>
      </c>
      <c r="I3882" s="4" t="s">
        <v>11651</v>
      </c>
      <c r="J3882" s="4" t="s">
        <v>12065</v>
      </c>
      <c r="K3882" s="4" t="s">
        <v>12069</v>
      </c>
      <c r="L3882" s="5">
        <v>57010</v>
      </c>
    </row>
    <row r="3883" spans="1:12" x14ac:dyDescent="0.25">
      <c r="A3883" s="3" t="s">
        <v>10786</v>
      </c>
      <c r="B3883" s="4" t="s">
        <v>11510</v>
      </c>
      <c r="C3883" s="4" t="s">
        <v>14</v>
      </c>
      <c r="D3883" s="4" t="s">
        <v>15</v>
      </c>
      <c r="E3883" s="5" t="str">
        <f>"9521208"</f>
        <v>9521208</v>
      </c>
      <c r="F3883" s="3" t="s">
        <v>12345</v>
      </c>
      <c r="G3883" s="5">
        <v>2310643540</v>
      </c>
      <c r="H3883" s="4" t="s">
        <v>12346</v>
      </c>
      <c r="I3883" s="4" t="s">
        <v>11513</v>
      </c>
      <c r="J3883" s="4" t="s">
        <v>11557</v>
      </c>
      <c r="K3883" s="4" t="s">
        <v>12347</v>
      </c>
      <c r="L3883" s="5">
        <v>56224</v>
      </c>
    </row>
    <row r="3884" spans="1:12" x14ac:dyDescent="0.25">
      <c r="A3884" s="3" t="s">
        <v>10786</v>
      </c>
      <c r="B3884" s="4" t="s">
        <v>11510</v>
      </c>
      <c r="C3884" s="4" t="s">
        <v>14</v>
      </c>
      <c r="D3884" s="4" t="s">
        <v>15</v>
      </c>
      <c r="E3884" s="5" t="str">
        <f>"9521209"</f>
        <v>9521209</v>
      </c>
      <c r="F3884" s="3" t="s">
        <v>12348</v>
      </c>
      <c r="G3884" s="5">
        <v>2310764302</v>
      </c>
      <c r="H3884" s="4" t="s">
        <v>12349</v>
      </c>
      <c r="I3884" s="4" t="s">
        <v>11513</v>
      </c>
      <c r="J3884" s="4" t="s">
        <v>11518</v>
      </c>
      <c r="K3884" s="4" t="s">
        <v>12350</v>
      </c>
      <c r="L3884" s="5">
        <v>56224</v>
      </c>
    </row>
    <row r="3885" spans="1:12" x14ac:dyDescent="0.25">
      <c r="A3885" s="3" t="s">
        <v>10786</v>
      </c>
      <c r="B3885" s="4" t="s">
        <v>11510</v>
      </c>
      <c r="C3885" s="4" t="s">
        <v>25</v>
      </c>
      <c r="D3885" s="4" t="s">
        <v>26</v>
      </c>
      <c r="E3885" s="5" t="str">
        <f>"9521210"</f>
        <v>9521210</v>
      </c>
      <c r="F3885" s="3" t="s">
        <v>12351</v>
      </c>
      <c r="G3885" s="5">
        <v>2310769837</v>
      </c>
      <c r="H3885" s="4" t="s">
        <v>12352</v>
      </c>
      <c r="I3885" s="4" t="s">
        <v>11513</v>
      </c>
      <c r="J3885" s="4" t="s">
        <v>11518</v>
      </c>
      <c r="K3885" s="4" t="s">
        <v>12293</v>
      </c>
      <c r="L3885" s="5">
        <v>56224</v>
      </c>
    </row>
    <row r="3886" spans="1:12" x14ac:dyDescent="0.25">
      <c r="A3886" s="3" t="s">
        <v>10786</v>
      </c>
      <c r="B3886" s="4" t="s">
        <v>11510</v>
      </c>
      <c r="C3886" s="4" t="s">
        <v>25</v>
      </c>
      <c r="D3886" s="4" t="s">
        <v>26</v>
      </c>
      <c r="E3886" s="5" t="str">
        <f>"9521214"</f>
        <v>9521214</v>
      </c>
      <c r="F3886" s="3" t="s">
        <v>12353</v>
      </c>
      <c r="G3886" s="5">
        <v>2310704051</v>
      </c>
      <c r="H3886" s="4" t="s">
        <v>12354</v>
      </c>
      <c r="I3886" s="4" t="s">
        <v>11513</v>
      </c>
      <c r="J3886" s="4" t="s">
        <v>11557</v>
      </c>
      <c r="K3886" s="4" t="s">
        <v>12355</v>
      </c>
      <c r="L3886" s="5">
        <v>56224</v>
      </c>
    </row>
    <row r="3887" spans="1:12" x14ac:dyDescent="0.25">
      <c r="A3887" s="3" t="s">
        <v>10786</v>
      </c>
      <c r="B3887" s="4" t="s">
        <v>11510</v>
      </c>
      <c r="C3887" s="4" t="s">
        <v>25</v>
      </c>
      <c r="D3887" s="4" t="s">
        <v>26</v>
      </c>
      <c r="E3887" s="5" t="str">
        <f>"9521216"</f>
        <v>9521216</v>
      </c>
      <c r="F3887" s="3" t="s">
        <v>12356</v>
      </c>
      <c r="G3887" s="5">
        <v>2310763310</v>
      </c>
      <c r="H3887" s="4" t="s">
        <v>12357</v>
      </c>
      <c r="I3887" s="4" t="s">
        <v>11513</v>
      </c>
      <c r="J3887" s="4" t="s">
        <v>11518</v>
      </c>
      <c r="K3887" s="4" t="s">
        <v>12358</v>
      </c>
      <c r="L3887" s="5">
        <v>56224</v>
      </c>
    </row>
    <row r="3888" spans="1:12" x14ac:dyDescent="0.25">
      <c r="A3888" s="3" t="s">
        <v>10786</v>
      </c>
      <c r="B3888" s="4" t="s">
        <v>11510</v>
      </c>
      <c r="C3888" s="4" t="s">
        <v>25</v>
      </c>
      <c r="D3888" s="4" t="s">
        <v>26</v>
      </c>
      <c r="E3888" s="5" t="str">
        <f>"9521217"</f>
        <v>9521217</v>
      </c>
      <c r="F3888" s="3" t="s">
        <v>12359</v>
      </c>
      <c r="G3888" s="5">
        <v>2310788634</v>
      </c>
      <c r="H3888" s="4" t="s">
        <v>12360</v>
      </c>
      <c r="I3888" s="4" t="s">
        <v>11640</v>
      </c>
      <c r="J3888" s="4" t="s">
        <v>12243</v>
      </c>
      <c r="K3888" s="4" t="s">
        <v>12361</v>
      </c>
      <c r="L3888" s="5">
        <v>57008</v>
      </c>
    </row>
    <row r="3889" spans="1:12" x14ac:dyDescent="0.25">
      <c r="A3889" s="3" t="s">
        <v>10786</v>
      </c>
      <c r="B3889" s="4" t="s">
        <v>11510</v>
      </c>
      <c r="C3889" s="4" t="s">
        <v>25</v>
      </c>
      <c r="D3889" s="4" t="s">
        <v>26</v>
      </c>
      <c r="E3889" s="5" t="str">
        <f>"9521218"</f>
        <v>9521218</v>
      </c>
      <c r="F3889" s="3" t="s">
        <v>12362</v>
      </c>
      <c r="G3889" s="5">
        <v>2310723080</v>
      </c>
      <c r="H3889" s="4" t="s">
        <v>12363</v>
      </c>
      <c r="I3889" s="4" t="s">
        <v>11640</v>
      </c>
      <c r="J3889" s="4" t="s">
        <v>12219</v>
      </c>
      <c r="K3889" s="4" t="s">
        <v>12364</v>
      </c>
      <c r="L3889" s="5">
        <v>57400</v>
      </c>
    </row>
    <row r="3890" spans="1:12" x14ac:dyDescent="0.25">
      <c r="A3890" s="3" t="s">
        <v>10786</v>
      </c>
      <c r="B3890" s="4" t="s">
        <v>11510</v>
      </c>
      <c r="C3890" s="4" t="s">
        <v>25</v>
      </c>
      <c r="D3890" s="4" t="s">
        <v>26</v>
      </c>
      <c r="E3890" s="5" t="str">
        <f>"9521111"</f>
        <v>9521111</v>
      </c>
      <c r="F3890" s="3" t="s">
        <v>12365</v>
      </c>
      <c r="G3890" s="5">
        <v>2310809070</v>
      </c>
      <c r="H3890" s="4" t="s">
        <v>12366</v>
      </c>
      <c r="I3890" s="4" t="s">
        <v>11635</v>
      </c>
      <c r="J3890" s="4" t="s">
        <v>11635</v>
      </c>
      <c r="K3890" s="4" t="s">
        <v>12367</v>
      </c>
      <c r="L3890" s="5">
        <v>57013</v>
      </c>
    </row>
    <row r="3891" spans="1:12" x14ac:dyDescent="0.25">
      <c r="A3891" s="3" t="s">
        <v>10786</v>
      </c>
      <c r="B3891" s="4" t="s">
        <v>11510</v>
      </c>
      <c r="C3891" s="4" t="s">
        <v>25</v>
      </c>
      <c r="D3891" s="4" t="s">
        <v>26</v>
      </c>
      <c r="E3891" s="5" t="str">
        <f>"9521243"</f>
        <v>9521243</v>
      </c>
      <c r="F3891" s="3" t="s">
        <v>12368</v>
      </c>
      <c r="G3891" s="5">
        <v>2310643430</v>
      </c>
      <c r="H3891" s="4" t="s">
        <v>12369</v>
      </c>
      <c r="I3891" s="4" t="s">
        <v>11564</v>
      </c>
      <c r="J3891" s="4" t="s">
        <v>11656</v>
      </c>
      <c r="K3891" s="4" t="s">
        <v>12275</v>
      </c>
      <c r="L3891" s="5">
        <v>56532</v>
      </c>
    </row>
    <row r="3892" spans="1:12" x14ac:dyDescent="0.25">
      <c r="A3892" s="3" t="s">
        <v>10786</v>
      </c>
      <c r="B3892" s="4" t="s">
        <v>11510</v>
      </c>
      <c r="C3892" s="4" t="s">
        <v>25</v>
      </c>
      <c r="D3892" s="4" t="s">
        <v>26</v>
      </c>
      <c r="E3892" s="5" t="str">
        <f>"9521244"</f>
        <v>9521244</v>
      </c>
      <c r="F3892" s="3" t="s">
        <v>12370</v>
      </c>
      <c r="G3892" s="5">
        <v>2310630114</v>
      </c>
      <c r="H3892" s="4" t="s">
        <v>12371</v>
      </c>
      <c r="I3892" s="4" t="s">
        <v>11564</v>
      </c>
      <c r="J3892" s="4" t="s">
        <v>11656</v>
      </c>
      <c r="K3892" s="4" t="s">
        <v>12372</v>
      </c>
      <c r="L3892" s="5">
        <v>56532</v>
      </c>
    </row>
    <row r="3893" spans="1:12" x14ac:dyDescent="0.25">
      <c r="A3893" s="3" t="s">
        <v>10786</v>
      </c>
      <c r="B3893" s="4" t="s">
        <v>11510</v>
      </c>
      <c r="C3893" s="4" t="s">
        <v>14</v>
      </c>
      <c r="D3893" s="4" t="s">
        <v>15</v>
      </c>
      <c r="E3893" s="5" t="str">
        <f>"9521108"</f>
        <v>9521108</v>
      </c>
      <c r="F3893" s="3" t="s">
        <v>12373</v>
      </c>
      <c r="G3893" s="5">
        <v>2310695322</v>
      </c>
      <c r="H3893" s="4" t="s">
        <v>12374</v>
      </c>
      <c r="I3893" s="4" t="s">
        <v>11635</v>
      </c>
      <c r="J3893" s="4" t="s">
        <v>11636</v>
      </c>
      <c r="K3893" s="4" t="s">
        <v>12367</v>
      </c>
      <c r="L3893" s="5">
        <v>57013</v>
      </c>
    </row>
    <row r="3894" spans="1:12" x14ac:dyDescent="0.25">
      <c r="A3894" s="3" t="s">
        <v>10786</v>
      </c>
      <c r="B3894" s="4" t="s">
        <v>11510</v>
      </c>
      <c r="C3894" s="4" t="s">
        <v>14</v>
      </c>
      <c r="D3894" s="4" t="s">
        <v>15</v>
      </c>
      <c r="E3894" s="5" t="str">
        <f>"9521343"</f>
        <v>9521343</v>
      </c>
      <c r="F3894" s="3" t="s">
        <v>12375</v>
      </c>
      <c r="G3894" s="5">
        <v>2310672297</v>
      </c>
      <c r="H3894" s="4" t="s">
        <v>12376</v>
      </c>
      <c r="I3894" s="4" t="s">
        <v>11651</v>
      </c>
      <c r="J3894" s="4" t="s">
        <v>12377</v>
      </c>
      <c r="K3894" s="4" t="s">
        <v>11891</v>
      </c>
      <c r="L3894" s="5">
        <v>57010</v>
      </c>
    </row>
    <row r="3895" spans="1:12" x14ac:dyDescent="0.25">
      <c r="A3895" s="3" t="s">
        <v>10786</v>
      </c>
      <c r="B3895" s="4" t="s">
        <v>11510</v>
      </c>
      <c r="C3895" s="4" t="s">
        <v>14</v>
      </c>
      <c r="D3895" s="4" t="s">
        <v>15</v>
      </c>
      <c r="E3895" s="5" t="str">
        <f>"9521106"</f>
        <v>9521106</v>
      </c>
      <c r="F3895" s="3" t="s">
        <v>12378</v>
      </c>
      <c r="G3895" s="5">
        <v>2310695171</v>
      </c>
      <c r="H3895" s="4" t="s">
        <v>12379</v>
      </c>
      <c r="I3895" s="4" t="s">
        <v>11635</v>
      </c>
      <c r="J3895" s="4" t="s">
        <v>11691</v>
      </c>
      <c r="K3895" s="4" t="s">
        <v>11981</v>
      </c>
      <c r="L3895" s="5">
        <v>57013</v>
      </c>
    </row>
    <row r="3896" spans="1:12" x14ac:dyDescent="0.25">
      <c r="A3896" s="3" t="s">
        <v>10786</v>
      </c>
      <c r="B3896" s="4" t="s">
        <v>11510</v>
      </c>
      <c r="C3896" s="4" t="s">
        <v>14</v>
      </c>
      <c r="D3896" s="4" t="s">
        <v>15</v>
      </c>
      <c r="E3896" s="5" t="str">
        <f>"9521104"</f>
        <v>9521104</v>
      </c>
      <c r="F3896" s="3" t="s">
        <v>12380</v>
      </c>
      <c r="G3896" s="5">
        <v>2310808518</v>
      </c>
      <c r="H3896" s="4" t="s">
        <v>12381</v>
      </c>
      <c r="I3896" s="4" t="s">
        <v>11564</v>
      </c>
      <c r="J3896" s="4" t="s">
        <v>11645</v>
      </c>
      <c r="K3896" s="4" t="s">
        <v>12382</v>
      </c>
      <c r="L3896" s="5">
        <v>56429</v>
      </c>
    </row>
    <row r="3897" spans="1:12" x14ac:dyDescent="0.25">
      <c r="A3897" s="3" t="s">
        <v>10786</v>
      </c>
      <c r="B3897" s="4" t="s">
        <v>11510</v>
      </c>
      <c r="C3897" s="4" t="s">
        <v>14</v>
      </c>
      <c r="D3897" s="4" t="s">
        <v>15</v>
      </c>
      <c r="E3897" s="5" t="str">
        <f>"9521099"</f>
        <v>9521099</v>
      </c>
      <c r="F3897" s="3" t="s">
        <v>12383</v>
      </c>
      <c r="G3897" s="5">
        <v>2310781124</v>
      </c>
      <c r="H3897" s="4" t="s">
        <v>12384</v>
      </c>
      <c r="I3897" s="4" t="s">
        <v>11640</v>
      </c>
      <c r="J3897" s="4" t="s">
        <v>12385</v>
      </c>
      <c r="K3897" s="4" t="s">
        <v>12386</v>
      </c>
      <c r="L3897" s="5">
        <v>57008</v>
      </c>
    </row>
    <row r="3898" spans="1:12" x14ac:dyDescent="0.25">
      <c r="A3898" s="3" t="s">
        <v>10786</v>
      </c>
      <c r="B3898" s="4" t="s">
        <v>11510</v>
      </c>
      <c r="C3898" s="4" t="s">
        <v>14</v>
      </c>
      <c r="D3898" s="4" t="s">
        <v>15</v>
      </c>
      <c r="E3898" s="5" t="str">
        <f>"9521405"</f>
        <v>9521405</v>
      </c>
      <c r="F3898" s="3" t="s">
        <v>12387</v>
      </c>
      <c r="G3898" s="5">
        <v>2310689189</v>
      </c>
      <c r="H3898" s="4" t="s">
        <v>12388</v>
      </c>
      <c r="I3898" s="4" t="s">
        <v>11513</v>
      </c>
      <c r="J3898" s="4" t="s">
        <v>11557</v>
      </c>
      <c r="K3898" s="4" t="s">
        <v>12389</v>
      </c>
      <c r="L3898" s="5">
        <v>56224</v>
      </c>
    </row>
    <row r="3899" spans="1:12" x14ac:dyDescent="0.25">
      <c r="A3899" s="3" t="s">
        <v>10786</v>
      </c>
      <c r="B3899" s="4" t="s">
        <v>11510</v>
      </c>
      <c r="C3899" s="4" t="s">
        <v>25</v>
      </c>
      <c r="D3899" s="4" t="s">
        <v>26</v>
      </c>
      <c r="E3899" s="5" t="str">
        <f>"9521403"</f>
        <v>9521403</v>
      </c>
      <c r="F3899" s="3" t="s">
        <v>12390</v>
      </c>
      <c r="G3899" s="5">
        <v>2310559858</v>
      </c>
      <c r="H3899" s="4" t="s">
        <v>12391</v>
      </c>
      <c r="I3899" s="4" t="s">
        <v>11513</v>
      </c>
      <c r="J3899" s="4" t="s">
        <v>11518</v>
      </c>
      <c r="K3899" s="4" t="s">
        <v>12392</v>
      </c>
      <c r="L3899" s="5">
        <v>56226</v>
      </c>
    </row>
    <row r="3900" spans="1:12" x14ac:dyDescent="0.25">
      <c r="A3900" s="3" t="s">
        <v>10786</v>
      </c>
      <c r="B3900" s="4" t="s">
        <v>11510</v>
      </c>
      <c r="C3900" s="4" t="s">
        <v>25</v>
      </c>
      <c r="D3900" s="4" t="s">
        <v>26</v>
      </c>
      <c r="E3900" s="5" t="str">
        <f>"9521404"</f>
        <v>9521404</v>
      </c>
      <c r="F3900" s="3" t="s">
        <v>12393</v>
      </c>
      <c r="G3900" s="5">
        <v>2310666756</v>
      </c>
      <c r="H3900" s="4" t="s">
        <v>12394</v>
      </c>
      <c r="I3900" s="4" t="s">
        <v>11513</v>
      </c>
      <c r="J3900" s="4" t="s">
        <v>11518</v>
      </c>
      <c r="K3900" s="4" t="s">
        <v>12395</v>
      </c>
      <c r="L3900" s="5">
        <v>56224</v>
      </c>
    </row>
    <row r="3901" spans="1:12" x14ac:dyDescent="0.25">
      <c r="A3901" s="3" t="s">
        <v>10786</v>
      </c>
      <c r="B3901" s="4" t="s">
        <v>11510</v>
      </c>
      <c r="C3901" s="4" t="s">
        <v>25</v>
      </c>
      <c r="D3901" s="4" t="s">
        <v>26</v>
      </c>
      <c r="E3901" s="5" t="str">
        <f>"9521326"</f>
        <v>9521326</v>
      </c>
      <c r="F3901" s="3" t="s">
        <v>12396</v>
      </c>
      <c r="G3901" s="5">
        <v>2316015571</v>
      </c>
      <c r="H3901" s="4" t="s">
        <v>12397</v>
      </c>
      <c r="I3901" s="4" t="s">
        <v>11640</v>
      </c>
      <c r="J3901" s="4" t="s">
        <v>11641</v>
      </c>
      <c r="K3901" s="4" t="s">
        <v>12398</v>
      </c>
      <c r="L3901" s="5">
        <v>57400</v>
      </c>
    </row>
    <row r="3902" spans="1:12" x14ac:dyDescent="0.25">
      <c r="A3902" s="3" t="s">
        <v>10786</v>
      </c>
      <c r="B3902" s="4" t="s">
        <v>11510</v>
      </c>
      <c r="C3902" s="4" t="s">
        <v>14</v>
      </c>
      <c r="D3902" s="4" t="s">
        <v>15</v>
      </c>
      <c r="E3902" s="5" t="str">
        <f>"9521340"</f>
        <v>9521340</v>
      </c>
      <c r="F3902" s="3" t="s">
        <v>12399</v>
      </c>
      <c r="G3902" s="5">
        <v>2310690345</v>
      </c>
      <c r="H3902" s="4" t="s">
        <v>12400</v>
      </c>
      <c r="I3902" s="4" t="s">
        <v>11564</v>
      </c>
      <c r="J3902" s="4" t="s">
        <v>11666</v>
      </c>
      <c r="K3902" s="4" t="s">
        <v>12401</v>
      </c>
      <c r="L3902" s="5">
        <v>56430</v>
      </c>
    </row>
    <row r="3903" spans="1:12" x14ac:dyDescent="0.25">
      <c r="A3903" s="3" t="s">
        <v>10786</v>
      </c>
      <c r="B3903" s="4" t="s">
        <v>11510</v>
      </c>
      <c r="C3903" s="4" t="s">
        <v>25</v>
      </c>
      <c r="D3903" s="4" t="s">
        <v>26</v>
      </c>
      <c r="E3903" s="5" t="str">
        <f>"9521453"</f>
        <v>9521453</v>
      </c>
      <c r="F3903" s="3" t="s">
        <v>12402</v>
      </c>
      <c r="G3903" s="5">
        <v>2310682915</v>
      </c>
      <c r="H3903" s="4" t="s">
        <v>12403</v>
      </c>
      <c r="I3903" s="4" t="s">
        <v>11564</v>
      </c>
      <c r="J3903" s="4" t="s">
        <v>11666</v>
      </c>
      <c r="K3903" s="4" t="s">
        <v>12404</v>
      </c>
      <c r="L3903" s="5">
        <v>56430</v>
      </c>
    </row>
    <row r="3904" spans="1:12" x14ac:dyDescent="0.25">
      <c r="A3904" s="3" t="s">
        <v>10786</v>
      </c>
      <c r="B3904" s="4" t="s">
        <v>11510</v>
      </c>
      <c r="C3904" s="4" t="s">
        <v>25</v>
      </c>
      <c r="D3904" s="4" t="s">
        <v>26</v>
      </c>
      <c r="E3904" s="5" t="str">
        <f>"9190091"</f>
        <v>9190091</v>
      </c>
      <c r="F3904" s="3" t="s">
        <v>12405</v>
      </c>
      <c r="G3904" s="5">
        <v>2310637113</v>
      </c>
      <c r="H3904" s="4" t="s">
        <v>12406</v>
      </c>
      <c r="I3904" s="4" t="s">
        <v>11651</v>
      </c>
      <c r="J3904" s="4" t="s">
        <v>11794</v>
      </c>
      <c r="K3904" s="4" t="s">
        <v>12299</v>
      </c>
      <c r="L3904" s="5">
        <v>56728</v>
      </c>
    </row>
    <row r="3905" spans="1:12" x14ac:dyDescent="0.25">
      <c r="A3905" s="3" t="s">
        <v>10786</v>
      </c>
      <c r="B3905" s="4" t="s">
        <v>11510</v>
      </c>
      <c r="C3905" s="4" t="s">
        <v>25</v>
      </c>
      <c r="D3905" s="4" t="s">
        <v>26</v>
      </c>
      <c r="E3905" s="5" t="str">
        <f>"9190092"</f>
        <v>9190092</v>
      </c>
      <c r="F3905" s="3" t="s">
        <v>12407</v>
      </c>
      <c r="G3905" s="5">
        <v>2310619037</v>
      </c>
      <c r="H3905" s="4" t="s">
        <v>12408</v>
      </c>
      <c r="I3905" s="4" t="s">
        <v>11651</v>
      </c>
      <c r="J3905" s="4" t="s">
        <v>11794</v>
      </c>
      <c r="K3905" s="4" t="s">
        <v>12409</v>
      </c>
      <c r="L3905" s="5">
        <v>56728</v>
      </c>
    </row>
    <row r="3906" spans="1:12" x14ac:dyDescent="0.25">
      <c r="A3906" s="3" t="s">
        <v>10786</v>
      </c>
      <c r="B3906" s="4" t="s">
        <v>11510</v>
      </c>
      <c r="C3906" s="4" t="s">
        <v>25</v>
      </c>
      <c r="D3906" s="4" t="s">
        <v>26</v>
      </c>
      <c r="E3906" s="5" t="str">
        <f>"9190093"</f>
        <v>9190093</v>
      </c>
      <c r="F3906" s="3" t="s">
        <v>12410</v>
      </c>
      <c r="G3906" s="5">
        <v>2310522054</v>
      </c>
      <c r="H3906" s="4" t="s">
        <v>12411</v>
      </c>
      <c r="I3906" s="4" t="s">
        <v>11651</v>
      </c>
      <c r="J3906" s="4" t="s">
        <v>11794</v>
      </c>
      <c r="K3906" s="4" t="s">
        <v>12412</v>
      </c>
      <c r="L3906" s="5">
        <v>56727</v>
      </c>
    </row>
    <row r="3907" spans="1:12" x14ac:dyDescent="0.25">
      <c r="A3907" s="3" t="s">
        <v>10786</v>
      </c>
      <c r="B3907" s="4" t="s">
        <v>11510</v>
      </c>
      <c r="C3907" s="4" t="s">
        <v>14</v>
      </c>
      <c r="D3907" s="4" t="s">
        <v>15</v>
      </c>
      <c r="E3907" s="5" t="str">
        <f>"9190065"</f>
        <v>9190065</v>
      </c>
      <c r="F3907" s="3" t="s">
        <v>12413</v>
      </c>
      <c r="G3907" s="5">
        <v>2310613381</v>
      </c>
      <c r="H3907" s="4" t="s">
        <v>12414</v>
      </c>
      <c r="I3907" s="4" t="s">
        <v>11651</v>
      </c>
      <c r="J3907" s="4" t="s">
        <v>746</v>
      </c>
      <c r="K3907" s="4" t="s">
        <v>12415</v>
      </c>
      <c r="L3907" s="5">
        <v>56728</v>
      </c>
    </row>
    <row r="3908" spans="1:12" x14ac:dyDescent="0.25">
      <c r="A3908" s="3" t="s">
        <v>10786</v>
      </c>
      <c r="B3908" s="4" t="s">
        <v>11510</v>
      </c>
      <c r="C3908" s="4" t="s">
        <v>14</v>
      </c>
      <c r="D3908" s="4" t="s">
        <v>15</v>
      </c>
      <c r="E3908" s="5" t="str">
        <f>"9190379"</f>
        <v>9190379</v>
      </c>
      <c r="F3908" s="3" t="s">
        <v>12416</v>
      </c>
      <c r="G3908" s="5">
        <v>2394051218</v>
      </c>
      <c r="H3908" s="4" t="s">
        <v>12417</v>
      </c>
      <c r="I3908" s="4" t="s">
        <v>11682</v>
      </c>
      <c r="J3908" s="4" t="s">
        <v>12418</v>
      </c>
      <c r="K3908" s="4"/>
      <c r="L3908" s="5">
        <v>57200</v>
      </c>
    </row>
    <row r="3909" spans="1:12" ht="30" x14ac:dyDescent="0.25">
      <c r="A3909" s="3" t="s">
        <v>10786</v>
      </c>
      <c r="B3909" s="4" t="s">
        <v>11510</v>
      </c>
      <c r="C3909" s="4" t="s">
        <v>14</v>
      </c>
      <c r="D3909" s="4" t="s">
        <v>179</v>
      </c>
      <c r="E3909" s="5" t="str">
        <f>"9190237"</f>
        <v>9190237</v>
      </c>
      <c r="F3909" s="3" t="s">
        <v>12419</v>
      </c>
      <c r="G3909" s="5">
        <v>2395051216</v>
      </c>
      <c r="H3909" s="4" t="s">
        <v>12420</v>
      </c>
      <c r="I3909" s="4" t="s">
        <v>11682</v>
      </c>
      <c r="J3909" s="4"/>
      <c r="K3909" s="4" t="s">
        <v>530</v>
      </c>
      <c r="L3909" s="5">
        <v>57002</v>
      </c>
    </row>
    <row r="3910" spans="1:12" x14ac:dyDescent="0.25">
      <c r="A3910" s="3" t="s">
        <v>10786</v>
      </c>
      <c r="B3910" s="4" t="s">
        <v>11510</v>
      </c>
      <c r="C3910" s="4" t="s">
        <v>14</v>
      </c>
      <c r="D3910" s="4" t="s">
        <v>15</v>
      </c>
      <c r="E3910" s="5" t="str">
        <f>"9521109"</f>
        <v>9521109</v>
      </c>
      <c r="F3910" s="3" t="s">
        <v>12421</v>
      </c>
      <c r="G3910" s="5">
        <v>2394032966</v>
      </c>
      <c r="H3910" s="4" t="s">
        <v>12422</v>
      </c>
      <c r="I3910" s="4" t="s">
        <v>11635</v>
      </c>
      <c r="J3910" s="4" t="s">
        <v>12423</v>
      </c>
      <c r="K3910" s="4" t="s">
        <v>12423</v>
      </c>
      <c r="L3910" s="5">
        <v>57018</v>
      </c>
    </row>
    <row r="3911" spans="1:12" x14ac:dyDescent="0.25">
      <c r="A3911" s="3" t="s">
        <v>10786</v>
      </c>
      <c r="B3911" s="4" t="s">
        <v>11510</v>
      </c>
      <c r="C3911" s="4" t="s">
        <v>14</v>
      </c>
      <c r="D3911" s="4" t="s">
        <v>15</v>
      </c>
      <c r="E3911" s="5" t="str">
        <f>"9521100"</f>
        <v>9521100</v>
      </c>
      <c r="F3911" s="3" t="s">
        <v>12424</v>
      </c>
      <c r="G3911" s="5">
        <v>2310784709</v>
      </c>
      <c r="H3911" s="4" t="s">
        <v>12425</v>
      </c>
      <c r="I3911" s="4" t="s">
        <v>11640</v>
      </c>
      <c r="J3911" s="4" t="s">
        <v>12045</v>
      </c>
      <c r="K3911" s="4" t="s">
        <v>12426</v>
      </c>
      <c r="L3911" s="5">
        <v>57008</v>
      </c>
    </row>
    <row r="3912" spans="1:12" x14ac:dyDescent="0.25">
      <c r="A3912" s="3" t="s">
        <v>10786</v>
      </c>
      <c r="B3912" s="4" t="s">
        <v>11510</v>
      </c>
      <c r="C3912" s="4" t="s">
        <v>14</v>
      </c>
      <c r="D3912" s="4" t="s">
        <v>179</v>
      </c>
      <c r="E3912" s="5" t="str">
        <f>"9190326"</f>
        <v>9190326</v>
      </c>
      <c r="F3912" s="3" t="s">
        <v>12427</v>
      </c>
      <c r="G3912" s="5">
        <v>2310711501</v>
      </c>
      <c r="H3912" s="4" t="s">
        <v>12428</v>
      </c>
      <c r="I3912" s="4" t="s">
        <v>11575</v>
      </c>
      <c r="J3912" s="4" t="s">
        <v>12429</v>
      </c>
      <c r="K3912" s="4" t="s">
        <v>12429</v>
      </c>
      <c r="L3912" s="5">
        <v>57011</v>
      </c>
    </row>
    <row r="3913" spans="1:12" x14ac:dyDescent="0.25">
      <c r="A3913" s="3" t="s">
        <v>10786</v>
      </c>
      <c r="B3913" s="4" t="s">
        <v>11510</v>
      </c>
      <c r="C3913" s="4" t="s">
        <v>25</v>
      </c>
      <c r="D3913" s="4" t="s">
        <v>26</v>
      </c>
      <c r="E3913" s="5" t="str">
        <f>"9521531"</f>
        <v>9521531</v>
      </c>
      <c r="F3913" s="3" t="s">
        <v>12430</v>
      </c>
      <c r="G3913" s="5">
        <v>2310020881</v>
      </c>
      <c r="H3913" s="4" t="s">
        <v>12431</v>
      </c>
      <c r="I3913" s="4" t="s">
        <v>11635</v>
      </c>
      <c r="J3913" s="4" t="s">
        <v>11635</v>
      </c>
      <c r="K3913" s="4" t="s">
        <v>12432</v>
      </c>
      <c r="L3913" s="5">
        <v>57013</v>
      </c>
    </row>
    <row r="3914" spans="1:12" x14ac:dyDescent="0.25">
      <c r="A3914" s="3" t="s">
        <v>10786</v>
      </c>
      <c r="B3914" s="4" t="s">
        <v>11510</v>
      </c>
      <c r="C3914" s="4" t="s">
        <v>25</v>
      </c>
      <c r="D3914" s="4" t="s">
        <v>26</v>
      </c>
      <c r="E3914" s="5" t="str">
        <f>"9521530"</f>
        <v>9521530</v>
      </c>
      <c r="F3914" s="3" t="s">
        <v>12433</v>
      </c>
      <c r="G3914" s="5">
        <v>2310557509</v>
      </c>
      <c r="H3914" s="4" t="s">
        <v>12434</v>
      </c>
      <c r="I3914" s="4" t="s">
        <v>11616</v>
      </c>
      <c r="J3914" s="4" t="s">
        <v>11955</v>
      </c>
      <c r="K3914" s="4" t="s">
        <v>12435</v>
      </c>
      <c r="L3914" s="5">
        <v>54628</v>
      </c>
    </row>
    <row r="3915" spans="1:12" x14ac:dyDescent="0.25">
      <c r="A3915" s="3" t="s">
        <v>10786</v>
      </c>
      <c r="B3915" s="4" t="s">
        <v>11510</v>
      </c>
      <c r="C3915" s="4" t="s">
        <v>25</v>
      </c>
      <c r="D3915" s="4" t="s">
        <v>26</v>
      </c>
      <c r="E3915" s="5" t="str">
        <f>"9521600"</f>
        <v>9521600</v>
      </c>
      <c r="F3915" s="3" t="s">
        <v>12436</v>
      </c>
      <c r="G3915" s="5">
        <v>2310808040</v>
      </c>
      <c r="H3915" s="4" t="s">
        <v>12437</v>
      </c>
      <c r="I3915" s="4" t="s">
        <v>11513</v>
      </c>
      <c r="J3915" s="4" t="s">
        <v>11518</v>
      </c>
      <c r="K3915" s="4" t="s">
        <v>12438</v>
      </c>
      <c r="L3915" s="5">
        <v>56224</v>
      </c>
    </row>
    <row r="3916" spans="1:12" x14ac:dyDescent="0.25">
      <c r="A3916" s="3" t="s">
        <v>10786</v>
      </c>
      <c r="B3916" s="4" t="s">
        <v>11510</v>
      </c>
      <c r="C3916" s="4" t="s">
        <v>25</v>
      </c>
      <c r="D3916" s="4" t="s">
        <v>26</v>
      </c>
      <c r="E3916" s="5" t="str">
        <f>"9192001"</f>
        <v>9192001</v>
      </c>
      <c r="F3916" s="3" t="s">
        <v>12439</v>
      </c>
      <c r="G3916" s="5">
        <v>2310686773</v>
      </c>
      <c r="H3916" s="4" t="s">
        <v>12440</v>
      </c>
      <c r="I3916" s="4" t="s">
        <v>11513</v>
      </c>
      <c r="J3916" s="4" t="s">
        <v>12441</v>
      </c>
      <c r="K3916" s="4" t="s">
        <v>12442</v>
      </c>
      <c r="L3916" s="5">
        <v>56224</v>
      </c>
    </row>
    <row r="3917" spans="1:12" x14ac:dyDescent="0.25">
      <c r="A3917" s="3" t="s">
        <v>10786</v>
      </c>
      <c r="B3917" s="4" t="s">
        <v>12443</v>
      </c>
      <c r="C3917" s="4" t="s">
        <v>25</v>
      </c>
      <c r="D3917" s="4" t="s">
        <v>26</v>
      </c>
      <c r="E3917" s="5" t="str">
        <f>"9160013"</f>
        <v>9160013</v>
      </c>
      <c r="F3917" s="3" t="s">
        <v>12444</v>
      </c>
      <c r="G3917" s="5">
        <v>2331060060</v>
      </c>
      <c r="H3917" s="4" t="s">
        <v>12445</v>
      </c>
      <c r="I3917" s="4" t="s">
        <v>12446</v>
      </c>
      <c r="J3917" s="4" t="s">
        <v>12446</v>
      </c>
      <c r="K3917" s="4" t="s">
        <v>12447</v>
      </c>
      <c r="L3917" s="5">
        <v>59132</v>
      </c>
    </row>
    <row r="3918" spans="1:12" x14ac:dyDescent="0.25">
      <c r="A3918" s="3" t="s">
        <v>10786</v>
      </c>
      <c r="B3918" s="4" t="s">
        <v>12443</v>
      </c>
      <c r="C3918" s="4" t="s">
        <v>14</v>
      </c>
      <c r="D3918" s="4" t="s">
        <v>15</v>
      </c>
      <c r="E3918" s="5" t="str">
        <f>"9160079"</f>
        <v>9160079</v>
      </c>
      <c r="F3918" s="3" t="s">
        <v>12448</v>
      </c>
      <c r="G3918" s="5">
        <v>2332022432</v>
      </c>
      <c r="H3918" s="4" t="s">
        <v>12449</v>
      </c>
      <c r="I3918" s="4" t="s">
        <v>12450</v>
      </c>
      <c r="J3918" s="4" t="s">
        <v>12451</v>
      </c>
      <c r="K3918" s="4" t="s">
        <v>12452</v>
      </c>
      <c r="L3918" s="5">
        <v>59200</v>
      </c>
    </row>
    <row r="3919" spans="1:12" x14ac:dyDescent="0.25">
      <c r="A3919" s="3" t="s">
        <v>10786</v>
      </c>
      <c r="B3919" s="4" t="s">
        <v>12443</v>
      </c>
      <c r="C3919" s="4" t="s">
        <v>25</v>
      </c>
      <c r="D3919" s="4" t="s">
        <v>26</v>
      </c>
      <c r="E3919" s="5" t="str">
        <f>"9160011"</f>
        <v>9160011</v>
      </c>
      <c r="F3919" s="3" t="s">
        <v>12453</v>
      </c>
      <c r="G3919" s="5">
        <v>2331074570</v>
      </c>
      <c r="H3919" s="4" t="s">
        <v>12454</v>
      </c>
      <c r="I3919" s="4" t="s">
        <v>12446</v>
      </c>
      <c r="J3919" s="4" t="s">
        <v>12446</v>
      </c>
      <c r="K3919" s="4" t="s">
        <v>12455</v>
      </c>
      <c r="L3919" s="5">
        <v>59132</v>
      </c>
    </row>
    <row r="3920" spans="1:12" x14ac:dyDescent="0.25">
      <c r="A3920" s="3" t="s">
        <v>10786</v>
      </c>
      <c r="B3920" s="4" t="s">
        <v>12443</v>
      </c>
      <c r="C3920" s="4" t="s">
        <v>25</v>
      </c>
      <c r="D3920" s="4" t="s">
        <v>26</v>
      </c>
      <c r="E3920" s="5" t="str">
        <f>"9520841"</f>
        <v>9520841</v>
      </c>
      <c r="F3920" s="3" t="s">
        <v>12456</v>
      </c>
      <c r="G3920" s="5">
        <v>2332028644</v>
      </c>
      <c r="H3920" s="4" t="s">
        <v>12457</v>
      </c>
      <c r="I3920" s="4" t="s">
        <v>12450</v>
      </c>
      <c r="J3920" s="4" t="s">
        <v>12451</v>
      </c>
      <c r="K3920" s="4" t="s">
        <v>12458</v>
      </c>
      <c r="L3920" s="5">
        <v>59200</v>
      </c>
    </row>
    <row r="3921" spans="1:12" x14ac:dyDescent="0.25">
      <c r="A3921" s="3" t="s">
        <v>10786</v>
      </c>
      <c r="B3921" s="4" t="s">
        <v>12443</v>
      </c>
      <c r="C3921" s="4" t="s">
        <v>14</v>
      </c>
      <c r="D3921" s="4" t="s">
        <v>15</v>
      </c>
      <c r="E3921" s="5" t="str">
        <f>"9160225"</f>
        <v>9160225</v>
      </c>
      <c r="F3921" s="3" t="s">
        <v>12459</v>
      </c>
      <c r="G3921" s="5">
        <v>2332026215</v>
      </c>
      <c r="H3921" s="4" t="s">
        <v>12460</v>
      </c>
      <c r="I3921" s="4" t="s">
        <v>12450</v>
      </c>
      <c r="J3921" s="4" t="s">
        <v>12451</v>
      </c>
      <c r="K3921" s="4" t="s">
        <v>12461</v>
      </c>
      <c r="L3921" s="5">
        <v>59200</v>
      </c>
    </row>
    <row r="3922" spans="1:12" x14ac:dyDescent="0.25">
      <c r="A3922" s="3" t="s">
        <v>10786</v>
      </c>
      <c r="B3922" s="4" t="s">
        <v>12443</v>
      </c>
      <c r="C3922" s="4" t="s">
        <v>25</v>
      </c>
      <c r="D3922" s="4" t="s">
        <v>26</v>
      </c>
      <c r="E3922" s="5" t="str">
        <f>"9160121"</f>
        <v>9160121</v>
      </c>
      <c r="F3922" s="3" t="s">
        <v>12462</v>
      </c>
      <c r="G3922" s="5">
        <v>2331073910</v>
      </c>
      <c r="H3922" s="4" t="s">
        <v>12463</v>
      </c>
      <c r="I3922" s="4" t="s">
        <v>12446</v>
      </c>
      <c r="J3922" s="4" t="s">
        <v>12446</v>
      </c>
      <c r="K3922" s="4" t="s">
        <v>12464</v>
      </c>
      <c r="L3922" s="5">
        <v>59100</v>
      </c>
    </row>
    <row r="3923" spans="1:12" x14ac:dyDescent="0.25">
      <c r="A3923" s="3" t="s">
        <v>10786</v>
      </c>
      <c r="B3923" s="4" t="s">
        <v>12443</v>
      </c>
      <c r="C3923" s="4" t="s">
        <v>14</v>
      </c>
      <c r="D3923" s="4" t="s">
        <v>15</v>
      </c>
      <c r="E3923" s="5" t="str">
        <f>"9160084"</f>
        <v>9160084</v>
      </c>
      <c r="F3923" s="3" t="s">
        <v>12465</v>
      </c>
      <c r="G3923" s="5">
        <v>2332028009</v>
      </c>
      <c r="H3923" s="4" t="s">
        <v>12466</v>
      </c>
      <c r="I3923" s="4" t="s">
        <v>12450</v>
      </c>
      <c r="J3923" s="4" t="s">
        <v>12451</v>
      </c>
      <c r="K3923" s="4" t="s">
        <v>12467</v>
      </c>
      <c r="L3923" s="5">
        <v>59200</v>
      </c>
    </row>
    <row r="3924" spans="1:12" x14ac:dyDescent="0.25">
      <c r="A3924" s="3" t="s">
        <v>10786</v>
      </c>
      <c r="B3924" s="4" t="s">
        <v>12443</v>
      </c>
      <c r="C3924" s="4" t="s">
        <v>25</v>
      </c>
      <c r="D3924" s="4" t="s">
        <v>26</v>
      </c>
      <c r="E3924" s="5" t="str">
        <f>"9160078"</f>
        <v>9160078</v>
      </c>
      <c r="F3924" s="3" t="s">
        <v>12468</v>
      </c>
      <c r="G3924" s="5">
        <v>2332024090</v>
      </c>
      <c r="H3924" s="4" t="s">
        <v>12469</v>
      </c>
      <c r="I3924" s="4" t="s">
        <v>12450</v>
      </c>
      <c r="J3924" s="4" t="s">
        <v>12470</v>
      </c>
      <c r="K3924" s="4" t="s">
        <v>12471</v>
      </c>
      <c r="L3924" s="5">
        <v>59200</v>
      </c>
    </row>
    <row r="3925" spans="1:12" x14ac:dyDescent="0.25">
      <c r="A3925" s="3" t="s">
        <v>10786</v>
      </c>
      <c r="B3925" s="4" t="s">
        <v>12443</v>
      </c>
      <c r="C3925" s="4" t="s">
        <v>25</v>
      </c>
      <c r="D3925" s="4" t="s">
        <v>26</v>
      </c>
      <c r="E3925" s="5" t="str">
        <f>"9160076"</f>
        <v>9160076</v>
      </c>
      <c r="F3925" s="3" t="s">
        <v>12472</v>
      </c>
      <c r="G3925" s="5">
        <v>2332024652</v>
      </c>
      <c r="H3925" s="4" t="s">
        <v>12473</v>
      </c>
      <c r="I3925" s="4" t="s">
        <v>12450</v>
      </c>
      <c r="J3925" s="4" t="s">
        <v>12470</v>
      </c>
      <c r="K3925" s="4" t="s">
        <v>12474</v>
      </c>
      <c r="L3925" s="5">
        <v>59200</v>
      </c>
    </row>
    <row r="3926" spans="1:12" x14ac:dyDescent="0.25">
      <c r="A3926" s="3" t="s">
        <v>10786</v>
      </c>
      <c r="B3926" s="4" t="s">
        <v>12443</v>
      </c>
      <c r="C3926" s="4" t="s">
        <v>25</v>
      </c>
      <c r="D3926" s="4" t="s">
        <v>26</v>
      </c>
      <c r="E3926" s="5" t="str">
        <f>"9160222"</f>
        <v>9160222</v>
      </c>
      <c r="F3926" s="3" t="s">
        <v>12475</v>
      </c>
      <c r="G3926" s="5">
        <v>2332026210</v>
      </c>
      <c r="H3926" s="4" t="s">
        <v>12476</v>
      </c>
      <c r="I3926" s="4" t="s">
        <v>12450</v>
      </c>
      <c r="J3926" s="4" t="s">
        <v>12470</v>
      </c>
      <c r="K3926" s="4" t="s">
        <v>654</v>
      </c>
      <c r="L3926" s="5">
        <v>59200</v>
      </c>
    </row>
    <row r="3927" spans="1:12" x14ac:dyDescent="0.25">
      <c r="A3927" s="3" t="s">
        <v>10786</v>
      </c>
      <c r="B3927" s="4" t="s">
        <v>12443</v>
      </c>
      <c r="C3927" s="4" t="s">
        <v>25</v>
      </c>
      <c r="D3927" s="4" t="s">
        <v>26</v>
      </c>
      <c r="E3927" s="5" t="str">
        <f>"9160119"</f>
        <v>9160119</v>
      </c>
      <c r="F3927" s="3" t="s">
        <v>12477</v>
      </c>
      <c r="G3927" s="5">
        <v>2331072850</v>
      </c>
      <c r="H3927" s="4" t="s">
        <v>12478</v>
      </c>
      <c r="I3927" s="4" t="s">
        <v>12446</v>
      </c>
      <c r="J3927" s="4" t="s">
        <v>12446</v>
      </c>
      <c r="K3927" s="4" t="s">
        <v>12479</v>
      </c>
      <c r="L3927" s="5">
        <v>59132</v>
      </c>
    </row>
    <row r="3928" spans="1:12" x14ac:dyDescent="0.25">
      <c r="A3928" s="3" t="s">
        <v>10786</v>
      </c>
      <c r="B3928" s="4" t="s">
        <v>12443</v>
      </c>
      <c r="C3928" s="4" t="s">
        <v>25</v>
      </c>
      <c r="D3928" s="4" t="s">
        <v>26</v>
      </c>
      <c r="E3928" s="5" t="str">
        <f>"9160118"</f>
        <v>9160118</v>
      </c>
      <c r="F3928" s="3" t="s">
        <v>12480</v>
      </c>
      <c r="G3928" s="5">
        <v>2331021900</v>
      </c>
      <c r="H3928" s="4" t="s">
        <v>12481</v>
      </c>
      <c r="I3928" s="4" t="s">
        <v>12446</v>
      </c>
      <c r="J3928" s="4" t="s">
        <v>12446</v>
      </c>
      <c r="K3928" s="4" t="s">
        <v>12482</v>
      </c>
      <c r="L3928" s="5">
        <v>59100</v>
      </c>
    </row>
    <row r="3929" spans="1:12" x14ac:dyDescent="0.25">
      <c r="A3929" s="3" t="s">
        <v>10786</v>
      </c>
      <c r="B3929" s="4" t="s">
        <v>12443</v>
      </c>
      <c r="C3929" s="4" t="s">
        <v>25</v>
      </c>
      <c r="D3929" s="4" t="s">
        <v>26</v>
      </c>
      <c r="E3929" s="5" t="str">
        <f>"9160015"</f>
        <v>9160015</v>
      </c>
      <c r="F3929" s="3" t="s">
        <v>12483</v>
      </c>
      <c r="G3929" s="5">
        <v>2331071671</v>
      </c>
      <c r="H3929" s="4" t="s">
        <v>12484</v>
      </c>
      <c r="I3929" s="4" t="s">
        <v>12446</v>
      </c>
      <c r="J3929" s="4" t="s">
        <v>12485</v>
      </c>
      <c r="K3929" s="4" t="s">
        <v>12486</v>
      </c>
      <c r="L3929" s="5">
        <v>59132</v>
      </c>
    </row>
    <row r="3930" spans="1:12" x14ac:dyDescent="0.25">
      <c r="A3930" s="3" t="s">
        <v>10786</v>
      </c>
      <c r="B3930" s="4" t="s">
        <v>12443</v>
      </c>
      <c r="C3930" s="4" t="s">
        <v>25</v>
      </c>
      <c r="D3930" s="4" t="s">
        <v>26</v>
      </c>
      <c r="E3930" s="5" t="str">
        <f>"9160187"</f>
        <v>9160187</v>
      </c>
      <c r="F3930" s="3" t="s">
        <v>12487</v>
      </c>
      <c r="G3930" s="5">
        <v>2331073782</v>
      </c>
      <c r="H3930" s="4" t="s">
        <v>12488</v>
      </c>
      <c r="I3930" s="4" t="s">
        <v>12446</v>
      </c>
      <c r="J3930" s="4" t="s">
        <v>12446</v>
      </c>
      <c r="K3930" s="4" t="s">
        <v>12489</v>
      </c>
      <c r="L3930" s="5">
        <v>59100</v>
      </c>
    </row>
    <row r="3931" spans="1:12" x14ac:dyDescent="0.25">
      <c r="A3931" s="3" t="s">
        <v>10786</v>
      </c>
      <c r="B3931" s="4" t="s">
        <v>12443</v>
      </c>
      <c r="C3931" s="4" t="s">
        <v>25</v>
      </c>
      <c r="D3931" s="4" t="s">
        <v>26</v>
      </c>
      <c r="E3931" s="5" t="str">
        <f>"9160065"</f>
        <v>9160065</v>
      </c>
      <c r="F3931" s="3" t="s">
        <v>12490</v>
      </c>
      <c r="G3931" s="5">
        <v>2331022273</v>
      </c>
      <c r="H3931" s="4" t="s">
        <v>12491</v>
      </c>
      <c r="I3931" s="4" t="s">
        <v>12446</v>
      </c>
      <c r="J3931" s="4" t="s">
        <v>12446</v>
      </c>
      <c r="K3931" s="4" t="s">
        <v>12492</v>
      </c>
      <c r="L3931" s="5">
        <v>59132</v>
      </c>
    </row>
    <row r="3932" spans="1:12" x14ac:dyDescent="0.25">
      <c r="A3932" s="3" t="s">
        <v>10786</v>
      </c>
      <c r="B3932" s="4" t="s">
        <v>12443</v>
      </c>
      <c r="C3932" s="4" t="s">
        <v>25</v>
      </c>
      <c r="D3932" s="4" t="s">
        <v>26</v>
      </c>
      <c r="E3932" s="5" t="str">
        <f>"9160066"</f>
        <v>9160066</v>
      </c>
      <c r="F3932" s="3" t="s">
        <v>12493</v>
      </c>
      <c r="G3932" s="5">
        <v>2331073445</v>
      </c>
      <c r="H3932" s="4" t="s">
        <v>12494</v>
      </c>
      <c r="I3932" s="4" t="s">
        <v>12446</v>
      </c>
      <c r="J3932" s="4" t="s">
        <v>12485</v>
      </c>
      <c r="K3932" s="4" t="s">
        <v>12495</v>
      </c>
      <c r="L3932" s="5">
        <v>59131</v>
      </c>
    </row>
    <row r="3933" spans="1:12" x14ac:dyDescent="0.25">
      <c r="A3933" s="3" t="s">
        <v>10786</v>
      </c>
      <c r="B3933" s="4" t="s">
        <v>12443</v>
      </c>
      <c r="C3933" s="4" t="s">
        <v>25</v>
      </c>
      <c r="D3933" s="4" t="s">
        <v>26</v>
      </c>
      <c r="E3933" s="5" t="str">
        <f>"9160014"</f>
        <v>9160014</v>
      </c>
      <c r="F3933" s="3" t="s">
        <v>12496</v>
      </c>
      <c r="G3933" s="5">
        <v>2331063555</v>
      </c>
      <c r="H3933" s="4" t="s">
        <v>12497</v>
      </c>
      <c r="I3933" s="4" t="s">
        <v>12446</v>
      </c>
      <c r="J3933" s="4" t="s">
        <v>12446</v>
      </c>
      <c r="K3933" s="4" t="s">
        <v>12498</v>
      </c>
      <c r="L3933" s="5">
        <v>59132</v>
      </c>
    </row>
    <row r="3934" spans="1:12" x14ac:dyDescent="0.25">
      <c r="A3934" s="3" t="s">
        <v>10786</v>
      </c>
      <c r="B3934" s="4" t="s">
        <v>12443</v>
      </c>
      <c r="C3934" s="4" t="s">
        <v>25</v>
      </c>
      <c r="D3934" s="4" t="s">
        <v>26</v>
      </c>
      <c r="E3934" s="5" t="str">
        <f>"9520837"</f>
        <v>9520837</v>
      </c>
      <c r="F3934" s="3" t="s">
        <v>12499</v>
      </c>
      <c r="G3934" s="5">
        <v>2333022206</v>
      </c>
      <c r="H3934" s="4" t="s">
        <v>12500</v>
      </c>
      <c r="I3934" s="4" t="s">
        <v>12501</v>
      </c>
      <c r="J3934" s="4" t="s">
        <v>12501</v>
      </c>
      <c r="K3934" s="4" t="s">
        <v>12502</v>
      </c>
      <c r="L3934" s="5">
        <v>59300</v>
      </c>
    </row>
    <row r="3935" spans="1:12" x14ac:dyDescent="0.25">
      <c r="A3935" s="3" t="s">
        <v>10786</v>
      </c>
      <c r="B3935" s="4" t="s">
        <v>12443</v>
      </c>
      <c r="C3935" s="4" t="s">
        <v>14</v>
      </c>
      <c r="D3935" s="4" t="s">
        <v>15</v>
      </c>
      <c r="E3935" s="5" t="str">
        <f>"9160126"</f>
        <v>9160126</v>
      </c>
      <c r="F3935" s="3" t="s">
        <v>12503</v>
      </c>
      <c r="G3935" s="5">
        <v>2331063904</v>
      </c>
      <c r="H3935" s="4" t="s">
        <v>12504</v>
      </c>
      <c r="I3935" s="4" t="s">
        <v>12446</v>
      </c>
      <c r="J3935" s="4" t="s">
        <v>12485</v>
      </c>
      <c r="K3935" s="4" t="s">
        <v>12505</v>
      </c>
      <c r="L3935" s="5">
        <v>59131</v>
      </c>
    </row>
    <row r="3936" spans="1:12" x14ac:dyDescent="0.25">
      <c r="A3936" s="3" t="s">
        <v>10786</v>
      </c>
      <c r="B3936" s="4" t="s">
        <v>12443</v>
      </c>
      <c r="C3936" s="4" t="s">
        <v>25</v>
      </c>
      <c r="D3936" s="4" t="s">
        <v>26</v>
      </c>
      <c r="E3936" s="5" t="str">
        <f>"9160120"</f>
        <v>9160120</v>
      </c>
      <c r="F3936" s="3" t="s">
        <v>12506</v>
      </c>
      <c r="G3936" s="5">
        <v>2331063887</v>
      </c>
      <c r="H3936" s="4" t="s">
        <v>12507</v>
      </c>
      <c r="I3936" s="4" t="s">
        <v>12446</v>
      </c>
      <c r="J3936" s="4" t="s">
        <v>12446</v>
      </c>
      <c r="K3936" s="4" t="s">
        <v>12508</v>
      </c>
      <c r="L3936" s="5">
        <v>59131</v>
      </c>
    </row>
    <row r="3937" spans="1:12" x14ac:dyDescent="0.25">
      <c r="A3937" s="3" t="s">
        <v>10786</v>
      </c>
      <c r="B3937" s="4" t="s">
        <v>12443</v>
      </c>
      <c r="C3937" s="4" t="s">
        <v>14</v>
      </c>
      <c r="D3937" s="4" t="s">
        <v>15</v>
      </c>
      <c r="E3937" s="5" t="str">
        <f>"9160081"</f>
        <v>9160081</v>
      </c>
      <c r="F3937" s="3" t="s">
        <v>12509</v>
      </c>
      <c r="G3937" s="5">
        <v>2332022766</v>
      </c>
      <c r="H3937" s="4" t="s">
        <v>12510</v>
      </c>
      <c r="I3937" s="4" t="s">
        <v>12450</v>
      </c>
      <c r="J3937" s="4" t="s">
        <v>12451</v>
      </c>
      <c r="K3937" s="4" t="s">
        <v>12511</v>
      </c>
      <c r="L3937" s="5">
        <v>59200</v>
      </c>
    </row>
    <row r="3938" spans="1:12" x14ac:dyDescent="0.25">
      <c r="A3938" s="3" t="s">
        <v>10786</v>
      </c>
      <c r="B3938" s="4" t="s">
        <v>12443</v>
      </c>
      <c r="C3938" s="4" t="s">
        <v>14</v>
      </c>
      <c r="D3938" s="4" t="s">
        <v>15</v>
      </c>
      <c r="E3938" s="5" t="str">
        <f>"9160067"</f>
        <v>9160067</v>
      </c>
      <c r="F3938" s="3" t="s">
        <v>12512</v>
      </c>
      <c r="G3938" s="5">
        <v>2331022038</v>
      </c>
      <c r="H3938" s="4" t="s">
        <v>12513</v>
      </c>
      <c r="I3938" s="4" t="s">
        <v>12446</v>
      </c>
      <c r="J3938" s="4" t="s">
        <v>12485</v>
      </c>
      <c r="K3938" s="4" t="s">
        <v>12492</v>
      </c>
      <c r="L3938" s="5">
        <v>59100</v>
      </c>
    </row>
    <row r="3939" spans="1:12" x14ac:dyDescent="0.25">
      <c r="A3939" s="3" t="s">
        <v>10786</v>
      </c>
      <c r="B3939" s="4" t="s">
        <v>12443</v>
      </c>
      <c r="C3939" s="4" t="s">
        <v>14</v>
      </c>
      <c r="D3939" s="4" t="s">
        <v>15</v>
      </c>
      <c r="E3939" s="5" t="str">
        <f>"9520833"</f>
        <v>9520833</v>
      </c>
      <c r="F3939" s="3" t="s">
        <v>12514</v>
      </c>
      <c r="G3939" s="5">
        <v>2332021822</v>
      </c>
      <c r="H3939" s="4" t="s">
        <v>12515</v>
      </c>
      <c r="I3939" s="4" t="s">
        <v>12450</v>
      </c>
      <c r="J3939" s="4" t="s">
        <v>12451</v>
      </c>
      <c r="K3939" s="4" t="s">
        <v>12516</v>
      </c>
      <c r="L3939" s="5">
        <v>59200</v>
      </c>
    </row>
    <row r="3940" spans="1:12" x14ac:dyDescent="0.25">
      <c r="A3940" s="3" t="s">
        <v>10786</v>
      </c>
      <c r="B3940" s="4" t="s">
        <v>12443</v>
      </c>
      <c r="C3940" s="4" t="s">
        <v>14</v>
      </c>
      <c r="D3940" s="4" t="s">
        <v>15</v>
      </c>
      <c r="E3940" s="5" t="str">
        <f>"9160183"</f>
        <v>9160183</v>
      </c>
      <c r="F3940" s="3" t="s">
        <v>12517</v>
      </c>
      <c r="G3940" s="5">
        <v>2331025788</v>
      </c>
      <c r="H3940" s="4" t="s">
        <v>12518</v>
      </c>
      <c r="I3940" s="4" t="s">
        <v>12446</v>
      </c>
      <c r="J3940" s="4" t="s">
        <v>12485</v>
      </c>
      <c r="K3940" s="4" t="s">
        <v>12489</v>
      </c>
      <c r="L3940" s="5">
        <v>59131</v>
      </c>
    </row>
    <row r="3941" spans="1:12" x14ac:dyDescent="0.25">
      <c r="A3941" s="3" t="s">
        <v>10786</v>
      </c>
      <c r="B3941" s="4" t="s">
        <v>12443</v>
      </c>
      <c r="C3941" s="4" t="s">
        <v>25</v>
      </c>
      <c r="D3941" s="4" t="s">
        <v>26</v>
      </c>
      <c r="E3941" s="5" t="str">
        <f>"9160002"</f>
        <v>9160002</v>
      </c>
      <c r="F3941" s="3" t="s">
        <v>12519</v>
      </c>
      <c r="G3941" s="5">
        <v>2333022140</v>
      </c>
      <c r="H3941" s="4" t="s">
        <v>12520</v>
      </c>
      <c r="I3941" s="4" t="s">
        <v>12501</v>
      </c>
      <c r="J3941" s="4" t="s">
        <v>12501</v>
      </c>
      <c r="K3941" s="4" t="s">
        <v>12521</v>
      </c>
      <c r="L3941" s="5">
        <v>59300</v>
      </c>
    </row>
    <row r="3942" spans="1:12" x14ac:dyDescent="0.25">
      <c r="A3942" s="3" t="s">
        <v>10786</v>
      </c>
      <c r="B3942" s="4" t="s">
        <v>12443</v>
      </c>
      <c r="C3942" s="4" t="s">
        <v>25</v>
      </c>
      <c r="D3942" s="4" t="s">
        <v>26</v>
      </c>
      <c r="E3942" s="5" t="str">
        <f>"9160003"</f>
        <v>9160003</v>
      </c>
      <c r="F3942" s="3" t="s">
        <v>12522</v>
      </c>
      <c r="G3942" s="5">
        <v>2333023106</v>
      </c>
      <c r="H3942" s="4" t="s">
        <v>12523</v>
      </c>
      <c r="I3942" s="4" t="s">
        <v>12501</v>
      </c>
      <c r="J3942" s="4" t="s">
        <v>12501</v>
      </c>
      <c r="K3942" s="4" t="s">
        <v>12524</v>
      </c>
      <c r="L3942" s="5">
        <v>59300</v>
      </c>
    </row>
    <row r="3943" spans="1:12" x14ac:dyDescent="0.25">
      <c r="A3943" s="3" t="s">
        <v>10786</v>
      </c>
      <c r="B3943" s="4" t="s">
        <v>12443</v>
      </c>
      <c r="C3943" s="4" t="s">
        <v>25</v>
      </c>
      <c r="D3943" s="4" t="s">
        <v>26</v>
      </c>
      <c r="E3943" s="5" t="str">
        <f>"9520774"</f>
        <v>9520774</v>
      </c>
      <c r="F3943" s="3" t="s">
        <v>12525</v>
      </c>
      <c r="G3943" s="5">
        <v>2333028262</v>
      </c>
      <c r="H3943" s="4" t="s">
        <v>12526</v>
      </c>
      <c r="I3943" s="4" t="s">
        <v>12501</v>
      </c>
      <c r="J3943" s="4" t="s">
        <v>12501</v>
      </c>
      <c r="K3943" s="4" t="s">
        <v>12527</v>
      </c>
      <c r="L3943" s="5">
        <v>59300</v>
      </c>
    </row>
    <row r="3944" spans="1:12" x14ac:dyDescent="0.25">
      <c r="A3944" s="3" t="s">
        <v>10786</v>
      </c>
      <c r="B3944" s="4" t="s">
        <v>12443</v>
      </c>
      <c r="C3944" s="4" t="s">
        <v>14</v>
      </c>
      <c r="D3944" s="4" t="s">
        <v>15</v>
      </c>
      <c r="E3944" s="5" t="str">
        <f>"9160223"</f>
        <v>9160223</v>
      </c>
      <c r="F3944" s="3" t="s">
        <v>12528</v>
      </c>
      <c r="G3944" s="5">
        <v>2331042132</v>
      </c>
      <c r="H3944" s="4" t="s">
        <v>12529</v>
      </c>
      <c r="I3944" s="4" t="s">
        <v>12446</v>
      </c>
      <c r="J3944" s="4" t="s">
        <v>12530</v>
      </c>
      <c r="K3944" s="4" t="s">
        <v>9922</v>
      </c>
      <c r="L3944" s="5">
        <v>59033</v>
      </c>
    </row>
    <row r="3945" spans="1:12" x14ac:dyDescent="0.25">
      <c r="A3945" s="3" t="s">
        <v>10786</v>
      </c>
      <c r="B3945" s="4" t="s">
        <v>12443</v>
      </c>
      <c r="C3945" s="4" t="s">
        <v>14</v>
      </c>
      <c r="D3945" s="4" t="s">
        <v>15</v>
      </c>
      <c r="E3945" s="5" t="str">
        <f>"9160082"</f>
        <v>9160082</v>
      </c>
      <c r="F3945" s="3" t="s">
        <v>12531</v>
      </c>
      <c r="G3945" s="5">
        <v>2332022502</v>
      </c>
      <c r="H3945" s="4" t="s">
        <v>12532</v>
      </c>
      <c r="I3945" s="4" t="s">
        <v>12450</v>
      </c>
      <c r="J3945" s="4" t="s">
        <v>12451</v>
      </c>
      <c r="K3945" s="4" t="s">
        <v>12474</v>
      </c>
      <c r="L3945" s="5">
        <v>59200</v>
      </c>
    </row>
    <row r="3946" spans="1:12" x14ac:dyDescent="0.25">
      <c r="A3946" s="3" t="s">
        <v>10786</v>
      </c>
      <c r="B3946" s="4" t="s">
        <v>12443</v>
      </c>
      <c r="C3946" s="4" t="s">
        <v>25</v>
      </c>
      <c r="D3946" s="4" t="s">
        <v>26</v>
      </c>
      <c r="E3946" s="5" t="str">
        <f>"9160204"</f>
        <v>9160204</v>
      </c>
      <c r="F3946" s="3" t="s">
        <v>12533</v>
      </c>
      <c r="G3946" s="5">
        <v>2333026008</v>
      </c>
      <c r="H3946" s="4" t="s">
        <v>12534</v>
      </c>
      <c r="I3946" s="4" t="s">
        <v>12501</v>
      </c>
      <c r="J3946" s="4" t="s">
        <v>12535</v>
      </c>
      <c r="K3946" s="4" t="s">
        <v>12536</v>
      </c>
      <c r="L3946" s="5">
        <v>59300</v>
      </c>
    </row>
    <row r="3947" spans="1:12" x14ac:dyDescent="0.25">
      <c r="A3947" s="3" t="s">
        <v>10786</v>
      </c>
      <c r="B3947" s="4" t="s">
        <v>12443</v>
      </c>
      <c r="C3947" s="4" t="s">
        <v>14</v>
      </c>
      <c r="D3947" s="4" t="s">
        <v>15</v>
      </c>
      <c r="E3947" s="5" t="str">
        <f>"9160107"</f>
        <v>9160107</v>
      </c>
      <c r="F3947" s="3" t="s">
        <v>12537</v>
      </c>
      <c r="G3947" s="5">
        <v>2332041321</v>
      </c>
      <c r="H3947" s="4" t="s">
        <v>12538</v>
      </c>
      <c r="I3947" s="4" t="s">
        <v>12450</v>
      </c>
      <c r="J3947" s="4" t="s">
        <v>12539</v>
      </c>
      <c r="K3947" s="4" t="s">
        <v>12540</v>
      </c>
      <c r="L3947" s="5">
        <v>59035</v>
      </c>
    </row>
    <row r="3948" spans="1:12" x14ac:dyDescent="0.25">
      <c r="A3948" s="3" t="s">
        <v>10786</v>
      </c>
      <c r="B3948" s="4" t="s">
        <v>12443</v>
      </c>
      <c r="C3948" s="4" t="s">
        <v>25</v>
      </c>
      <c r="D3948" s="4" t="s">
        <v>26</v>
      </c>
      <c r="E3948" s="5" t="str">
        <f>"9160039"</f>
        <v>9160039</v>
      </c>
      <c r="F3948" s="3" t="s">
        <v>12541</v>
      </c>
      <c r="G3948" s="5">
        <v>2331081500</v>
      </c>
      <c r="H3948" s="4" t="s">
        <v>12542</v>
      </c>
      <c r="I3948" s="4" t="s">
        <v>12501</v>
      </c>
      <c r="J3948" s="4" t="s">
        <v>12543</v>
      </c>
      <c r="K3948" s="4" t="s">
        <v>12544</v>
      </c>
      <c r="L3948" s="5">
        <v>59031</v>
      </c>
    </row>
    <row r="3949" spans="1:12" x14ac:dyDescent="0.25">
      <c r="A3949" s="3" t="s">
        <v>10786</v>
      </c>
      <c r="B3949" s="4" t="s">
        <v>12443</v>
      </c>
      <c r="C3949" s="4" t="s">
        <v>14</v>
      </c>
      <c r="D3949" s="4" t="s">
        <v>15</v>
      </c>
      <c r="E3949" s="5" t="str">
        <f>"9160023"</f>
        <v>9160023</v>
      </c>
      <c r="F3949" s="3" t="s">
        <v>12545</v>
      </c>
      <c r="G3949" s="5">
        <v>2331099201</v>
      </c>
      <c r="H3949" s="4" t="s">
        <v>12546</v>
      </c>
      <c r="I3949" s="4" t="s">
        <v>12501</v>
      </c>
      <c r="J3949" s="4" t="s">
        <v>12547</v>
      </c>
      <c r="K3949" s="4" t="s">
        <v>12548</v>
      </c>
      <c r="L3949" s="5">
        <v>59300</v>
      </c>
    </row>
    <row r="3950" spans="1:12" x14ac:dyDescent="0.25">
      <c r="A3950" s="3" t="s">
        <v>10786</v>
      </c>
      <c r="B3950" s="4" t="s">
        <v>12443</v>
      </c>
      <c r="C3950" s="4" t="s">
        <v>14</v>
      </c>
      <c r="D3950" s="4" t="s">
        <v>15</v>
      </c>
      <c r="E3950" s="5" t="str">
        <f>"9160123"</f>
        <v>9160123</v>
      </c>
      <c r="F3950" s="3" t="s">
        <v>12549</v>
      </c>
      <c r="G3950" s="5">
        <v>2331024996</v>
      </c>
      <c r="H3950" s="4" t="s">
        <v>12550</v>
      </c>
      <c r="I3950" s="4" t="s">
        <v>12446</v>
      </c>
      <c r="J3950" s="4" t="s">
        <v>12485</v>
      </c>
      <c r="K3950" s="4" t="s">
        <v>12551</v>
      </c>
      <c r="L3950" s="5">
        <v>59132</v>
      </c>
    </row>
    <row r="3951" spans="1:12" x14ac:dyDescent="0.25">
      <c r="A3951" s="3" t="s">
        <v>10786</v>
      </c>
      <c r="B3951" s="4" t="s">
        <v>12443</v>
      </c>
      <c r="C3951" s="4" t="s">
        <v>25</v>
      </c>
      <c r="D3951" s="4" t="s">
        <v>26</v>
      </c>
      <c r="E3951" s="5" t="str">
        <f>"9160186"</f>
        <v>9160186</v>
      </c>
      <c r="F3951" s="3" t="s">
        <v>12552</v>
      </c>
      <c r="G3951" s="5">
        <v>2333022061</v>
      </c>
      <c r="H3951" s="4" t="s">
        <v>12553</v>
      </c>
      <c r="I3951" s="4" t="s">
        <v>12501</v>
      </c>
      <c r="J3951" s="4" t="s">
        <v>12501</v>
      </c>
      <c r="K3951" s="4" t="s">
        <v>12554</v>
      </c>
      <c r="L3951" s="5">
        <v>59300</v>
      </c>
    </row>
    <row r="3952" spans="1:12" x14ac:dyDescent="0.25">
      <c r="A3952" s="3" t="s">
        <v>10786</v>
      </c>
      <c r="B3952" s="4" t="s">
        <v>12443</v>
      </c>
      <c r="C3952" s="4" t="s">
        <v>14</v>
      </c>
      <c r="D3952" s="4" t="s">
        <v>15</v>
      </c>
      <c r="E3952" s="5" t="str">
        <f>"9160136"</f>
        <v>9160136</v>
      </c>
      <c r="F3952" s="3" t="s">
        <v>12555</v>
      </c>
      <c r="G3952" s="5">
        <v>2331051321</v>
      </c>
      <c r="H3952" s="4" t="s">
        <v>12556</v>
      </c>
      <c r="I3952" s="4" t="s">
        <v>12446</v>
      </c>
      <c r="J3952" s="4"/>
      <c r="K3952" s="4" t="s">
        <v>12557</v>
      </c>
      <c r="L3952" s="5">
        <v>59150</v>
      </c>
    </row>
    <row r="3953" spans="1:12" x14ac:dyDescent="0.25">
      <c r="A3953" s="3" t="s">
        <v>10786</v>
      </c>
      <c r="B3953" s="4" t="s">
        <v>12443</v>
      </c>
      <c r="C3953" s="4" t="s">
        <v>14</v>
      </c>
      <c r="D3953" s="4" t="s">
        <v>15</v>
      </c>
      <c r="E3953" s="5" t="str">
        <f>"9160068"</f>
        <v>9160068</v>
      </c>
      <c r="F3953" s="3" t="s">
        <v>12558</v>
      </c>
      <c r="G3953" s="5">
        <v>2331023005</v>
      </c>
      <c r="H3953" s="4" t="s">
        <v>12559</v>
      </c>
      <c r="I3953" s="4" t="s">
        <v>12446</v>
      </c>
      <c r="J3953" s="4" t="s">
        <v>12485</v>
      </c>
      <c r="K3953" s="4" t="s">
        <v>12495</v>
      </c>
      <c r="L3953" s="5">
        <v>59131</v>
      </c>
    </row>
    <row r="3954" spans="1:12" x14ac:dyDescent="0.25">
      <c r="A3954" s="3" t="s">
        <v>10786</v>
      </c>
      <c r="B3954" s="4" t="s">
        <v>12443</v>
      </c>
      <c r="C3954" s="4" t="s">
        <v>14</v>
      </c>
      <c r="D3954" s="4" t="s">
        <v>15</v>
      </c>
      <c r="E3954" s="5" t="str">
        <f>"9160220"</f>
        <v>9160220</v>
      </c>
      <c r="F3954" s="3" t="s">
        <v>12560</v>
      </c>
      <c r="G3954" s="5">
        <v>2331065895</v>
      </c>
      <c r="H3954" s="4" t="s">
        <v>12561</v>
      </c>
      <c r="I3954" s="4" t="s">
        <v>12446</v>
      </c>
      <c r="J3954" s="4" t="s">
        <v>12485</v>
      </c>
      <c r="K3954" s="4" t="s">
        <v>12455</v>
      </c>
      <c r="L3954" s="5">
        <v>59132</v>
      </c>
    </row>
    <row r="3955" spans="1:12" x14ac:dyDescent="0.25">
      <c r="A3955" s="3" t="s">
        <v>10786</v>
      </c>
      <c r="B3955" s="4" t="s">
        <v>12443</v>
      </c>
      <c r="C3955" s="4" t="s">
        <v>14</v>
      </c>
      <c r="D3955" s="4" t="s">
        <v>15</v>
      </c>
      <c r="E3955" s="5" t="str">
        <f>"9160083"</f>
        <v>9160083</v>
      </c>
      <c r="F3955" s="3" t="s">
        <v>12562</v>
      </c>
      <c r="G3955" s="5">
        <v>2332022239</v>
      </c>
      <c r="H3955" s="4" t="s">
        <v>12563</v>
      </c>
      <c r="I3955" s="4" t="s">
        <v>12450</v>
      </c>
      <c r="J3955" s="4" t="s">
        <v>12451</v>
      </c>
      <c r="K3955" s="4" t="s">
        <v>12564</v>
      </c>
      <c r="L3955" s="5">
        <v>59200</v>
      </c>
    </row>
    <row r="3956" spans="1:12" x14ac:dyDescent="0.25">
      <c r="A3956" s="3" t="s">
        <v>10786</v>
      </c>
      <c r="B3956" s="4" t="s">
        <v>12443</v>
      </c>
      <c r="C3956" s="4" t="s">
        <v>14</v>
      </c>
      <c r="D3956" s="4" t="s">
        <v>15</v>
      </c>
      <c r="E3956" s="5" t="str">
        <f>"9160127"</f>
        <v>9160127</v>
      </c>
      <c r="F3956" s="3" t="s">
        <v>12565</v>
      </c>
      <c r="G3956" s="5">
        <v>2331023741</v>
      </c>
      <c r="H3956" s="4" t="s">
        <v>12566</v>
      </c>
      <c r="I3956" s="4" t="s">
        <v>12446</v>
      </c>
      <c r="J3956" s="4" t="s">
        <v>12485</v>
      </c>
      <c r="K3956" s="4" t="s">
        <v>12464</v>
      </c>
      <c r="L3956" s="5">
        <v>59131</v>
      </c>
    </row>
    <row r="3957" spans="1:12" x14ac:dyDescent="0.25">
      <c r="A3957" s="3" t="s">
        <v>10786</v>
      </c>
      <c r="B3957" s="4" t="s">
        <v>12443</v>
      </c>
      <c r="C3957" s="4" t="s">
        <v>14</v>
      </c>
      <c r="D3957" s="4" t="s">
        <v>15</v>
      </c>
      <c r="E3957" s="5" t="str">
        <f>"9160005"</f>
        <v>9160005</v>
      </c>
      <c r="F3957" s="3" t="s">
        <v>12567</v>
      </c>
      <c r="G3957" s="5">
        <v>2333023665</v>
      </c>
      <c r="H3957" s="4" t="s">
        <v>12568</v>
      </c>
      <c r="I3957" s="4" t="s">
        <v>12501</v>
      </c>
      <c r="J3957" s="4" t="s">
        <v>12535</v>
      </c>
      <c r="K3957" s="4" t="s">
        <v>12569</v>
      </c>
      <c r="L3957" s="5">
        <v>59300</v>
      </c>
    </row>
    <row r="3958" spans="1:12" x14ac:dyDescent="0.25">
      <c r="A3958" s="3" t="s">
        <v>10786</v>
      </c>
      <c r="B3958" s="4" t="s">
        <v>12443</v>
      </c>
      <c r="C3958" s="4" t="s">
        <v>14</v>
      </c>
      <c r="D3958" s="4" t="s">
        <v>15</v>
      </c>
      <c r="E3958" s="5" t="str">
        <f>"9160195"</f>
        <v>9160195</v>
      </c>
      <c r="F3958" s="3" t="s">
        <v>12570</v>
      </c>
      <c r="G3958" s="5">
        <v>2333022905</v>
      </c>
      <c r="H3958" s="4" t="s">
        <v>12571</v>
      </c>
      <c r="I3958" s="4" t="s">
        <v>12501</v>
      </c>
      <c r="J3958" s="4" t="s">
        <v>12535</v>
      </c>
      <c r="K3958" s="4" t="s">
        <v>12572</v>
      </c>
      <c r="L3958" s="5">
        <v>59300</v>
      </c>
    </row>
    <row r="3959" spans="1:12" x14ac:dyDescent="0.25">
      <c r="A3959" s="3" t="s">
        <v>10786</v>
      </c>
      <c r="B3959" s="4" t="s">
        <v>12443</v>
      </c>
      <c r="C3959" s="4" t="s">
        <v>14</v>
      </c>
      <c r="D3959" s="4" t="s">
        <v>15</v>
      </c>
      <c r="E3959" s="5" t="str">
        <f>"9160032"</f>
        <v>9160032</v>
      </c>
      <c r="F3959" s="3" t="s">
        <v>12573</v>
      </c>
      <c r="G3959" s="5">
        <v>2333041202</v>
      </c>
      <c r="H3959" s="4" t="s">
        <v>12574</v>
      </c>
      <c r="I3959" s="4" t="s">
        <v>12501</v>
      </c>
      <c r="J3959" s="4" t="s">
        <v>12575</v>
      </c>
      <c r="K3959" s="4" t="s">
        <v>12576</v>
      </c>
      <c r="L3959" s="5">
        <v>59300</v>
      </c>
    </row>
    <row r="3960" spans="1:12" x14ac:dyDescent="0.25">
      <c r="A3960" s="3" t="s">
        <v>10786</v>
      </c>
      <c r="B3960" s="4" t="s">
        <v>12443</v>
      </c>
      <c r="C3960" s="4" t="s">
        <v>14</v>
      </c>
      <c r="D3960" s="4" t="s">
        <v>15</v>
      </c>
      <c r="E3960" s="5" t="str">
        <f>"9520835"</f>
        <v>9520835</v>
      </c>
      <c r="F3960" s="3" t="s">
        <v>12577</v>
      </c>
      <c r="G3960" s="5">
        <v>2333053119</v>
      </c>
      <c r="H3960" s="4" t="s">
        <v>12578</v>
      </c>
      <c r="I3960" s="4" t="s">
        <v>12501</v>
      </c>
      <c r="J3960" s="4" t="s">
        <v>12535</v>
      </c>
      <c r="K3960" s="4" t="s">
        <v>12579</v>
      </c>
      <c r="L3960" s="5">
        <v>59300</v>
      </c>
    </row>
    <row r="3961" spans="1:12" ht="30" x14ac:dyDescent="0.25">
      <c r="A3961" s="3" t="s">
        <v>10786</v>
      </c>
      <c r="B3961" s="4" t="s">
        <v>12443</v>
      </c>
      <c r="C3961" s="4" t="s">
        <v>14</v>
      </c>
      <c r="D3961" s="4" t="s">
        <v>15</v>
      </c>
      <c r="E3961" s="5" t="str">
        <f>"9160035"</f>
        <v>9160035</v>
      </c>
      <c r="F3961" s="3" t="s">
        <v>12580</v>
      </c>
      <c r="G3961" s="5">
        <v>2333063451</v>
      </c>
      <c r="H3961" s="4" t="s">
        <v>12581</v>
      </c>
      <c r="I3961" s="4" t="s">
        <v>12501</v>
      </c>
      <c r="J3961" s="4" t="s">
        <v>12582</v>
      </c>
      <c r="K3961" s="4" t="s">
        <v>12582</v>
      </c>
      <c r="L3961" s="5">
        <v>59032</v>
      </c>
    </row>
    <row r="3962" spans="1:12" x14ac:dyDescent="0.25">
      <c r="A3962" s="3" t="s">
        <v>10786</v>
      </c>
      <c r="B3962" s="4" t="s">
        <v>12443</v>
      </c>
      <c r="C3962" s="4" t="s">
        <v>14</v>
      </c>
      <c r="D3962" s="4" t="s">
        <v>15</v>
      </c>
      <c r="E3962" s="5" t="str">
        <f>"9160153"</f>
        <v>9160153</v>
      </c>
      <c r="F3962" s="3" t="s">
        <v>12583</v>
      </c>
      <c r="G3962" s="5">
        <v>2331039939</v>
      </c>
      <c r="H3962" s="4" t="s">
        <v>12584</v>
      </c>
      <c r="I3962" s="4" t="s">
        <v>12501</v>
      </c>
      <c r="J3962" s="4" t="s">
        <v>12585</v>
      </c>
      <c r="K3962" s="4" t="s">
        <v>12586</v>
      </c>
      <c r="L3962" s="5">
        <v>59150</v>
      </c>
    </row>
    <row r="3963" spans="1:12" x14ac:dyDescent="0.25">
      <c r="A3963" s="3" t="s">
        <v>10786</v>
      </c>
      <c r="B3963" s="4" t="s">
        <v>12443</v>
      </c>
      <c r="C3963" s="4" t="s">
        <v>14</v>
      </c>
      <c r="D3963" s="4" t="s">
        <v>15</v>
      </c>
      <c r="E3963" s="5" t="str">
        <f>"9520836"</f>
        <v>9520836</v>
      </c>
      <c r="F3963" s="3" t="s">
        <v>12587</v>
      </c>
      <c r="G3963" s="5">
        <v>2333053126</v>
      </c>
      <c r="H3963" s="4" t="s">
        <v>12588</v>
      </c>
      <c r="I3963" s="4" t="s">
        <v>12501</v>
      </c>
      <c r="J3963" s="4" t="s">
        <v>12535</v>
      </c>
      <c r="K3963" s="4" t="s">
        <v>12589</v>
      </c>
      <c r="L3963" s="5">
        <v>59300</v>
      </c>
    </row>
    <row r="3964" spans="1:12" x14ac:dyDescent="0.25">
      <c r="A3964" s="3" t="s">
        <v>10786</v>
      </c>
      <c r="B3964" s="4" t="s">
        <v>12443</v>
      </c>
      <c r="C3964" s="4" t="s">
        <v>14</v>
      </c>
      <c r="D3964" s="4" t="s">
        <v>15</v>
      </c>
      <c r="E3964" s="5" t="str">
        <f>"9160192"</f>
        <v>9160192</v>
      </c>
      <c r="F3964" s="3" t="s">
        <v>12590</v>
      </c>
      <c r="G3964" s="5">
        <v>2331081000</v>
      </c>
      <c r="H3964" s="4" t="s">
        <v>12591</v>
      </c>
      <c r="I3964" s="4" t="s">
        <v>12501</v>
      </c>
      <c r="J3964" s="4" t="s">
        <v>12592</v>
      </c>
      <c r="K3964" s="4" t="s">
        <v>12593</v>
      </c>
      <c r="L3964" s="5">
        <v>59031</v>
      </c>
    </row>
    <row r="3965" spans="1:12" x14ac:dyDescent="0.25">
      <c r="A3965" s="3" t="s">
        <v>10786</v>
      </c>
      <c r="B3965" s="4" t="s">
        <v>12443</v>
      </c>
      <c r="C3965" s="4" t="s">
        <v>14</v>
      </c>
      <c r="D3965" s="4" t="s">
        <v>15</v>
      </c>
      <c r="E3965" s="5" t="str">
        <f>"9160100"</f>
        <v>9160100</v>
      </c>
      <c r="F3965" s="3" t="s">
        <v>12594</v>
      </c>
      <c r="G3965" s="5">
        <v>2332041133</v>
      </c>
      <c r="H3965" s="4" t="s">
        <v>12595</v>
      </c>
      <c r="I3965" s="4" t="s">
        <v>12450</v>
      </c>
      <c r="J3965" s="4" t="s">
        <v>12596</v>
      </c>
      <c r="K3965" s="4" t="s">
        <v>3145</v>
      </c>
      <c r="L3965" s="5">
        <v>59035</v>
      </c>
    </row>
    <row r="3966" spans="1:12" x14ac:dyDescent="0.25">
      <c r="A3966" s="3" t="s">
        <v>10786</v>
      </c>
      <c r="B3966" s="4" t="s">
        <v>12443</v>
      </c>
      <c r="C3966" s="4" t="s">
        <v>14</v>
      </c>
      <c r="D3966" s="4" t="s">
        <v>15</v>
      </c>
      <c r="E3966" s="5" t="str">
        <f>"9160040"</f>
        <v>9160040</v>
      </c>
      <c r="F3966" s="3" t="s">
        <v>12597</v>
      </c>
      <c r="G3966" s="5">
        <v>2331081210</v>
      </c>
      <c r="H3966" s="4" t="s">
        <v>12598</v>
      </c>
      <c r="I3966" s="4" t="s">
        <v>12501</v>
      </c>
      <c r="J3966" s="4" t="s">
        <v>12592</v>
      </c>
      <c r="K3966" s="4" t="s">
        <v>12592</v>
      </c>
      <c r="L3966" s="5">
        <v>59031</v>
      </c>
    </row>
    <row r="3967" spans="1:12" x14ac:dyDescent="0.25">
      <c r="A3967" s="3" t="s">
        <v>10786</v>
      </c>
      <c r="B3967" s="4" t="s">
        <v>12443</v>
      </c>
      <c r="C3967" s="4" t="s">
        <v>14</v>
      </c>
      <c r="D3967" s="4" t="s">
        <v>15</v>
      </c>
      <c r="E3967" s="5" t="str">
        <f>"9160092"</f>
        <v>9160092</v>
      </c>
      <c r="F3967" s="3" t="s">
        <v>12599</v>
      </c>
      <c r="G3967" s="5">
        <v>2332044222</v>
      </c>
      <c r="H3967" s="4" t="s">
        <v>12600</v>
      </c>
      <c r="I3967" s="4" t="s">
        <v>12450</v>
      </c>
      <c r="J3967" s="4" t="s">
        <v>12601</v>
      </c>
      <c r="K3967" s="4" t="s">
        <v>12602</v>
      </c>
      <c r="L3967" s="5">
        <v>59200</v>
      </c>
    </row>
    <row r="3968" spans="1:12" x14ac:dyDescent="0.25">
      <c r="A3968" s="3" t="s">
        <v>10786</v>
      </c>
      <c r="B3968" s="4" t="s">
        <v>12443</v>
      </c>
      <c r="C3968" s="4" t="s">
        <v>14</v>
      </c>
      <c r="D3968" s="4" t="s">
        <v>15</v>
      </c>
      <c r="E3968" s="5" t="str">
        <f>"9160087"</f>
        <v>9160087</v>
      </c>
      <c r="F3968" s="3" t="s">
        <v>12603</v>
      </c>
      <c r="G3968" s="5">
        <v>2332047209</v>
      </c>
      <c r="H3968" s="4" t="s">
        <v>12604</v>
      </c>
      <c r="I3968" s="4" t="s">
        <v>12450</v>
      </c>
      <c r="J3968" s="4" t="s">
        <v>12605</v>
      </c>
      <c r="K3968" s="4" t="s">
        <v>12606</v>
      </c>
      <c r="L3968" s="5">
        <v>59034</v>
      </c>
    </row>
    <row r="3969" spans="1:12" x14ac:dyDescent="0.25">
      <c r="A3969" s="3" t="s">
        <v>10786</v>
      </c>
      <c r="B3969" s="4" t="s">
        <v>12443</v>
      </c>
      <c r="C3969" s="4" t="s">
        <v>14</v>
      </c>
      <c r="D3969" s="4" t="s">
        <v>15</v>
      </c>
      <c r="E3969" s="5" t="str">
        <f>"9160021"</f>
        <v>9160021</v>
      </c>
      <c r="F3969" s="3" t="s">
        <v>12607</v>
      </c>
      <c r="G3969" s="5">
        <v>2331061615</v>
      </c>
      <c r="H3969" s="4" t="s">
        <v>12608</v>
      </c>
      <c r="I3969" s="4" t="s">
        <v>12446</v>
      </c>
      <c r="J3969" s="4" t="s">
        <v>12485</v>
      </c>
      <c r="K3969" s="4" t="s">
        <v>12609</v>
      </c>
      <c r="L3969" s="5">
        <v>59132</v>
      </c>
    </row>
    <row r="3970" spans="1:12" x14ac:dyDescent="0.25">
      <c r="A3970" s="3" t="s">
        <v>10786</v>
      </c>
      <c r="B3970" s="4" t="s">
        <v>12443</v>
      </c>
      <c r="C3970" s="4" t="s">
        <v>14</v>
      </c>
      <c r="D3970" s="4" t="s">
        <v>15</v>
      </c>
      <c r="E3970" s="5" t="str">
        <f>"9160019"</f>
        <v>9160019</v>
      </c>
      <c r="F3970" s="3" t="s">
        <v>12610</v>
      </c>
      <c r="G3970" s="5">
        <v>2331023143</v>
      </c>
      <c r="H3970" s="4" t="s">
        <v>12611</v>
      </c>
      <c r="I3970" s="4" t="s">
        <v>12446</v>
      </c>
      <c r="J3970" s="4" t="s">
        <v>12485</v>
      </c>
      <c r="K3970" s="4" t="s">
        <v>12612</v>
      </c>
      <c r="L3970" s="5">
        <v>59132</v>
      </c>
    </row>
    <row r="3971" spans="1:12" x14ac:dyDescent="0.25">
      <c r="A3971" s="3" t="s">
        <v>10786</v>
      </c>
      <c r="B3971" s="4" t="s">
        <v>12443</v>
      </c>
      <c r="C3971" s="4" t="s">
        <v>14</v>
      </c>
      <c r="D3971" s="4" t="s">
        <v>15</v>
      </c>
      <c r="E3971" s="5" t="str">
        <f>"9160125"</f>
        <v>9160125</v>
      </c>
      <c r="F3971" s="3" t="s">
        <v>12613</v>
      </c>
      <c r="G3971" s="5">
        <v>2331024439</v>
      </c>
      <c r="H3971" s="4" t="s">
        <v>12614</v>
      </c>
      <c r="I3971" s="4" t="s">
        <v>12446</v>
      </c>
      <c r="J3971" s="4" t="s">
        <v>12485</v>
      </c>
      <c r="K3971" s="4" t="s">
        <v>12615</v>
      </c>
      <c r="L3971" s="5">
        <v>59132</v>
      </c>
    </row>
    <row r="3972" spans="1:12" x14ac:dyDescent="0.25">
      <c r="A3972" s="3" t="s">
        <v>10786</v>
      </c>
      <c r="B3972" s="4" t="s">
        <v>12443</v>
      </c>
      <c r="C3972" s="4" t="s">
        <v>14</v>
      </c>
      <c r="D3972" s="4" t="s">
        <v>15</v>
      </c>
      <c r="E3972" s="5" t="str">
        <f>"9160004"</f>
        <v>9160004</v>
      </c>
      <c r="F3972" s="3" t="s">
        <v>12616</v>
      </c>
      <c r="G3972" s="5">
        <v>2333023206</v>
      </c>
      <c r="H3972" s="4" t="s">
        <v>12617</v>
      </c>
      <c r="I3972" s="4" t="s">
        <v>12501</v>
      </c>
      <c r="J3972" s="4" t="s">
        <v>12535</v>
      </c>
      <c r="K3972" s="4" t="s">
        <v>12618</v>
      </c>
      <c r="L3972" s="5">
        <v>59300</v>
      </c>
    </row>
    <row r="3973" spans="1:12" x14ac:dyDescent="0.25">
      <c r="A3973" s="3" t="s">
        <v>10786</v>
      </c>
      <c r="B3973" s="4" t="s">
        <v>12443</v>
      </c>
      <c r="C3973" s="4" t="s">
        <v>14</v>
      </c>
      <c r="D3973" s="4" t="s">
        <v>15</v>
      </c>
      <c r="E3973" s="5" t="str">
        <f>"9520834"</f>
        <v>9520834</v>
      </c>
      <c r="F3973" s="3" t="s">
        <v>12619</v>
      </c>
      <c r="G3973" s="5">
        <v>2333053124</v>
      </c>
      <c r="H3973" s="4" t="s">
        <v>12620</v>
      </c>
      <c r="I3973" s="4" t="s">
        <v>12501</v>
      </c>
      <c r="J3973" s="4" t="s">
        <v>12535</v>
      </c>
      <c r="K3973" s="4" t="s">
        <v>12621</v>
      </c>
      <c r="L3973" s="5">
        <v>59300</v>
      </c>
    </row>
    <row r="3974" spans="1:12" x14ac:dyDescent="0.25">
      <c r="A3974" s="3" t="s">
        <v>10786</v>
      </c>
      <c r="B3974" s="4" t="s">
        <v>12443</v>
      </c>
      <c r="C3974" s="4" t="s">
        <v>14</v>
      </c>
      <c r="D3974" s="4" t="s">
        <v>179</v>
      </c>
      <c r="E3974" s="5" t="str">
        <f>"9160151"</f>
        <v>9160151</v>
      </c>
      <c r="F3974" s="3" t="s">
        <v>12622</v>
      </c>
      <c r="G3974" s="5">
        <v>2333091238</v>
      </c>
      <c r="H3974" s="4" t="s">
        <v>12623</v>
      </c>
      <c r="I3974" s="4" t="s">
        <v>12501</v>
      </c>
      <c r="J3974" s="4" t="s">
        <v>12624</v>
      </c>
      <c r="K3974" s="4" t="s">
        <v>12625</v>
      </c>
      <c r="L3974" s="5">
        <v>59300</v>
      </c>
    </row>
    <row r="3975" spans="1:12" x14ac:dyDescent="0.25">
      <c r="A3975" s="3" t="s">
        <v>10786</v>
      </c>
      <c r="B3975" s="4" t="s">
        <v>12443</v>
      </c>
      <c r="C3975" s="4" t="s">
        <v>14</v>
      </c>
      <c r="D3975" s="4" t="s">
        <v>15</v>
      </c>
      <c r="E3975" s="5" t="str">
        <f>"9160063"</f>
        <v>9160063</v>
      </c>
      <c r="F3975" s="3" t="s">
        <v>12626</v>
      </c>
      <c r="G3975" s="5">
        <v>2333081336</v>
      </c>
      <c r="H3975" s="4" t="s">
        <v>12627</v>
      </c>
      <c r="I3975" s="4" t="s">
        <v>12501</v>
      </c>
      <c r="J3975" s="4" t="s">
        <v>12628</v>
      </c>
      <c r="K3975" s="4" t="s">
        <v>12628</v>
      </c>
      <c r="L3975" s="5">
        <v>59032</v>
      </c>
    </row>
    <row r="3976" spans="1:12" ht="30" x14ac:dyDescent="0.25">
      <c r="A3976" s="3" t="s">
        <v>10786</v>
      </c>
      <c r="B3976" s="4" t="s">
        <v>12443</v>
      </c>
      <c r="C3976" s="4" t="s">
        <v>14</v>
      </c>
      <c r="D3976" s="4" t="s">
        <v>15</v>
      </c>
      <c r="E3976" s="5" t="str">
        <f>"9160103"</f>
        <v>9160103</v>
      </c>
      <c r="F3976" s="3" t="s">
        <v>12629</v>
      </c>
      <c r="G3976" s="5">
        <v>2332044478</v>
      </c>
      <c r="H3976" s="4" t="s">
        <v>12630</v>
      </c>
      <c r="I3976" s="4" t="s">
        <v>12450</v>
      </c>
      <c r="J3976" s="4" t="s">
        <v>12631</v>
      </c>
      <c r="K3976" s="4" t="s">
        <v>12631</v>
      </c>
      <c r="L3976" s="5">
        <v>59200</v>
      </c>
    </row>
    <row r="3977" spans="1:12" x14ac:dyDescent="0.25">
      <c r="A3977" s="3" t="s">
        <v>10786</v>
      </c>
      <c r="B3977" s="4" t="s">
        <v>12443</v>
      </c>
      <c r="C3977" s="4" t="s">
        <v>14</v>
      </c>
      <c r="D3977" s="4" t="s">
        <v>15</v>
      </c>
      <c r="E3977" s="5" t="str">
        <f>"9160017"</f>
        <v>9160017</v>
      </c>
      <c r="F3977" s="3" t="s">
        <v>12632</v>
      </c>
      <c r="G3977" s="5">
        <v>2331023332</v>
      </c>
      <c r="H3977" s="4" t="s">
        <v>12633</v>
      </c>
      <c r="I3977" s="4" t="s">
        <v>12446</v>
      </c>
      <c r="J3977" s="4" t="s">
        <v>12485</v>
      </c>
      <c r="K3977" s="4" t="s">
        <v>12486</v>
      </c>
      <c r="L3977" s="5">
        <v>59132</v>
      </c>
    </row>
    <row r="3978" spans="1:12" x14ac:dyDescent="0.25">
      <c r="A3978" s="3" t="s">
        <v>10786</v>
      </c>
      <c r="B3978" s="4" t="s">
        <v>12443</v>
      </c>
      <c r="C3978" s="4" t="s">
        <v>14</v>
      </c>
      <c r="D3978" s="4" t="s">
        <v>15</v>
      </c>
      <c r="E3978" s="5" t="str">
        <f>"9160193"</f>
        <v>9160193</v>
      </c>
      <c r="F3978" s="3" t="s">
        <v>12634</v>
      </c>
      <c r="G3978" s="5">
        <v>2332022718</v>
      </c>
      <c r="H3978" s="4" t="s">
        <v>12635</v>
      </c>
      <c r="I3978" s="4" t="s">
        <v>12450</v>
      </c>
      <c r="J3978" s="4" t="s">
        <v>12451</v>
      </c>
      <c r="K3978" s="4" t="s">
        <v>12636</v>
      </c>
      <c r="L3978" s="5">
        <v>59200</v>
      </c>
    </row>
    <row r="3979" spans="1:12" x14ac:dyDescent="0.25">
      <c r="A3979" s="3" t="s">
        <v>10786</v>
      </c>
      <c r="B3979" s="4" t="s">
        <v>12443</v>
      </c>
      <c r="C3979" s="4" t="s">
        <v>14</v>
      </c>
      <c r="D3979" s="4" t="s">
        <v>15</v>
      </c>
      <c r="E3979" s="5" t="str">
        <f>"9160016"</f>
        <v>9160016</v>
      </c>
      <c r="F3979" s="3" t="s">
        <v>12637</v>
      </c>
      <c r="G3979" s="5">
        <v>2331027538</v>
      </c>
      <c r="H3979" s="4" t="s">
        <v>12638</v>
      </c>
      <c r="I3979" s="4" t="s">
        <v>12446</v>
      </c>
      <c r="J3979" s="4" t="s">
        <v>12485</v>
      </c>
      <c r="K3979" s="4" t="s">
        <v>12639</v>
      </c>
      <c r="L3979" s="5">
        <v>59132</v>
      </c>
    </row>
    <row r="3980" spans="1:12" x14ac:dyDescent="0.25">
      <c r="A3980" s="3" t="s">
        <v>10786</v>
      </c>
      <c r="B3980" s="4" t="s">
        <v>12443</v>
      </c>
      <c r="C3980" s="4" t="s">
        <v>14</v>
      </c>
      <c r="D3980" s="4" t="s">
        <v>15</v>
      </c>
      <c r="E3980" s="5" t="str">
        <f>"9160213"</f>
        <v>9160213</v>
      </c>
      <c r="F3980" s="3" t="s">
        <v>12640</v>
      </c>
      <c r="G3980" s="5">
        <v>2332024140</v>
      </c>
      <c r="H3980" s="4" t="s">
        <v>12641</v>
      </c>
      <c r="I3980" s="4" t="s">
        <v>12450</v>
      </c>
      <c r="J3980" s="4" t="s">
        <v>12451</v>
      </c>
      <c r="K3980" s="4" t="s">
        <v>12642</v>
      </c>
      <c r="L3980" s="5">
        <v>59200</v>
      </c>
    </row>
    <row r="3981" spans="1:12" ht="30" x14ac:dyDescent="0.25">
      <c r="A3981" s="3" t="s">
        <v>10786</v>
      </c>
      <c r="B3981" s="4" t="s">
        <v>12443</v>
      </c>
      <c r="C3981" s="4" t="s">
        <v>14</v>
      </c>
      <c r="D3981" s="4" t="s">
        <v>15</v>
      </c>
      <c r="E3981" s="5" t="str">
        <f>"9160159"</f>
        <v>9160159</v>
      </c>
      <c r="F3981" s="3" t="s">
        <v>12643</v>
      </c>
      <c r="G3981" s="5">
        <v>2331041378</v>
      </c>
      <c r="H3981" s="4" t="s">
        <v>12644</v>
      </c>
      <c r="I3981" s="4" t="s">
        <v>12446</v>
      </c>
      <c r="J3981" s="4" t="s">
        <v>12645</v>
      </c>
      <c r="K3981" s="4"/>
      <c r="L3981" s="5">
        <v>59150</v>
      </c>
    </row>
    <row r="3982" spans="1:12" x14ac:dyDescent="0.25">
      <c r="A3982" s="3" t="s">
        <v>10786</v>
      </c>
      <c r="B3982" s="4" t="s">
        <v>12443</v>
      </c>
      <c r="C3982" s="4" t="s">
        <v>14</v>
      </c>
      <c r="D3982" s="4" t="s">
        <v>15</v>
      </c>
      <c r="E3982" s="5" t="str">
        <f>"9160155"</f>
        <v>9160155</v>
      </c>
      <c r="F3982" s="3" t="s">
        <v>12646</v>
      </c>
      <c r="G3982" s="5">
        <v>2331097278</v>
      </c>
      <c r="H3982" s="4" t="s">
        <v>12647</v>
      </c>
      <c r="I3982" s="4" t="s">
        <v>12446</v>
      </c>
      <c r="J3982" s="4" t="s">
        <v>12648</v>
      </c>
      <c r="K3982" s="4" t="s">
        <v>12648</v>
      </c>
      <c r="L3982" s="5">
        <v>59033</v>
      </c>
    </row>
    <row r="3983" spans="1:12" x14ac:dyDescent="0.25">
      <c r="A3983" s="3" t="s">
        <v>10786</v>
      </c>
      <c r="B3983" s="4" t="s">
        <v>12443</v>
      </c>
      <c r="C3983" s="4" t="s">
        <v>14</v>
      </c>
      <c r="D3983" s="4" t="s">
        <v>15</v>
      </c>
      <c r="E3983" s="5" t="str">
        <f>"9160163"</f>
        <v>9160163</v>
      </c>
      <c r="F3983" s="3" t="s">
        <v>12649</v>
      </c>
      <c r="G3983" s="5">
        <v>2331041221</v>
      </c>
      <c r="H3983" s="4" t="s">
        <v>12650</v>
      </c>
      <c r="I3983" s="4" t="s">
        <v>12446</v>
      </c>
      <c r="J3983" s="4" t="s">
        <v>12530</v>
      </c>
      <c r="K3983" s="4" t="s">
        <v>12651</v>
      </c>
      <c r="L3983" s="5">
        <v>59150</v>
      </c>
    </row>
    <row r="3984" spans="1:12" x14ac:dyDescent="0.25">
      <c r="A3984" s="3" t="s">
        <v>10786</v>
      </c>
      <c r="B3984" s="4" t="s">
        <v>12443</v>
      </c>
      <c r="C3984" s="4" t="s">
        <v>14</v>
      </c>
      <c r="D3984" s="4" t="s">
        <v>15</v>
      </c>
      <c r="E3984" s="5" t="str">
        <f>"9160006"</f>
        <v>9160006</v>
      </c>
      <c r="F3984" s="3" t="s">
        <v>12652</v>
      </c>
      <c r="G3984" s="5">
        <v>2333023607</v>
      </c>
      <c r="H3984" s="4" t="s">
        <v>12653</v>
      </c>
      <c r="I3984" s="4" t="s">
        <v>12501</v>
      </c>
      <c r="J3984" s="4" t="s">
        <v>12535</v>
      </c>
      <c r="K3984" s="4" t="s">
        <v>12589</v>
      </c>
      <c r="L3984" s="5">
        <v>59300</v>
      </c>
    </row>
    <row r="3985" spans="1:12" x14ac:dyDescent="0.25">
      <c r="A3985" s="3" t="s">
        <v>10786</v>
      </c>
      <c r="B3985" s="4" t="s">
        <v>12443</v>
      </c>
      <c r="C3985" s="4" t="s">
        <v>14</v>
      </c>
      <c r="D3985" s="4" t="s">
        <v>15</v>
      </c>
      <c r="E3985" s="5" t="str">
        <f>"9160030"</f>
        <v>9160030</v>
      </c>
      <c r="F3985" s="3" t="s">
        <v>12654</v>
      </c>
      <c r="G3985" s="5">
        <v>2333071206</v>
      </c>
      <c r="H3985" s="4" t="s">
        <v>12655</v>
      </c>
      <c r="I3985" s="4" t="s">
        <v>12501</v>
      </c>
      <c r="J3985" s="4" t="s">
        <v>12656</v>
      </c>
      <c r="K3985" s="4" t="s">
        <v>12657</v>
      </c>
      <c r="L3985" s="5">
        <v>59032</v>
      </c>
    </row>
    <row r="3986" spans="1:12" x14ac:dyDescent="0.25">
      <c r="A3986" s="3" t="s">
        <v>10786</v>
      </c>
      <c r="B3986" s="4" t="s">
        <v>12443</v>
      </c>
      <c r="C3986" s="4" t="s">
        <v>14</v>
      </c>
      <c r="D3986" s="4" t="s">
        <v>15</v>
      </c>
      <c r="E3986" s="5" t="str">
        <f>"9160164"</f>
        <v>9160164</v>
      </c>
      <c r="F3986" s="3" t="s">
        <v>12658</v>
      </c>
      <c r="G3986" s="5">
        <v>2331041220</v>
      </c>
      <c r="H3986" s="4" t="s">
        <v>12659</v>
      </c>
      <c r="I3986" s="4" t="s">
        <v>12446</v>
      </c>
      <c r="J3986" s="4" t="s">
        <v>12660</v>
      </c>
      <c r="K3986" s="4" t="s">
        <v>12661</v>
      </c>
      <c r="L3986" s="5">
        <v>59033</v>
      </c>
    </row>
    <row r="3987" spans="1:12" x14ac:dyDescent="0.25">
      <c r="A3987" s="3" t="s">
        <v>10786</v>
      </c>
      <c r="B3987" s="4" t="s">
        <v>12443</v>
      </c>
      <c r="C3987" s="4" t="s">
        <v>14</v>
      </c>
      <c r="D3987" s="4" t="s">
        <v>15</v>
      </c>
      <c r="E3987" s="5" t="str">
        <f>"9160133"</f>
        <v>9160133</v>
      </c>
      <c r="F3987" s="3" t="s">
        <v>12662</v>
      </c>
      <c r="G3987" s="5">
        <v>2331091215</v>
      </c>
      <c r="H3987" s="4" t="s">
        <v>12663</v>
      </c>
      <c r="I3987" s="4" t="s">
        <v>12446</v>
      </c>
      <c r="J3987" s="4" t="s">
        <v>3920</v>
      </c>
      <c r="K3987" s="4" t="s">
        <v>3920</v>
      </c>
      <c r="L3987" s="5">
        <v>59100</v>
      </c>
    </row>
    <row r="3988" spans="1:12" x14ac:dyDescent="0.25">
      <c r="A3988" s="3" t="s">
        <v>10786</v>
      </c>
      <c r="B3988" s="4" t="s">
        <v>12443</v>
      </c>
      <c r="C3988" s="4" t="s">
        <v>14</v>
      </c>
      <c r="D3988" s="4" t="s">
        <v>15</v>
      </c>
      <c r="E3988" s="5" t="str">
        <f>"9160045"</f>
        <v>9160045</v>
      </c>
      <c r="F3988" s="3" t="s">
        <v>12664</v>
      </c>
      <c r="G3988" s="5">
        <v>2331092338</v>
      </c>
      <c r="H3988" s="4" t="s">
        <v>12665</v>
      </c>
      <c r="I3988" s="4" t="s">
        <v>12446</v>
      </c>
      <c r="J3988" s="4"/>
      <c r="K3988" s="4" t="s">
        <v>12666</v>
      </c>
      <c r="L3988" s="5">
        <v>59031</v>
      </c>
    </row>
    <row r="3989" spans="1:12" x14ac:dyDescent="0.25">
      <c r="A3989" s="3" t="s">
        <v>10786</v>
      </c>
      <c r="B3989" s="4" t="s">
        <v>12443</v>
      </c>
      <c r="C3989" s="4" t="s">
        <v>14</v>
      </c>
      <c r="D3989" s="4" t="s">
        <v>15</v>
      </c>
      <c r="E3989" s="5" t="str">
        <f>"9160070"</f>
        <v>9160070</v>
      </c>
      <c r="F3989" s="3" t="s">
        <v>12667</v>
      </c>
      <c r="G3989" s="5">
        <v>2331022046</v>
      </c>
      <c r="H3989" s="4" t="s">
        <v>12668</v>
      </c>
      <c r="I3989" s="4" t="s">
        <v>12446</v>
      </c>
      <c r="J3989" s="4" t="s">
        <v>12669</v>
      </c>
      <c r="K3989" s="4" t="s">
        <v>12670</v>
      </c>
      <c r="L3989" s="5">
        <v>59132</v>
      </c>
    </row>
    <row r="3990" spans="1:12" x14ac:dyDescent="0.25">
      <c r="A3990" s="3" t="s">
        <v>10786</v>
      </c>
      <c r="B3990" s="4" t="s">
        <v>12443</v>
      </c>
      <c r="C3990" s="4" t="s">
        <v>14</v>
      </c>
      <c r="D3990" s="4" t="s">
        <v>15</v>
      </c>
      <c r="E3990" s="5" t="str">
        <f>"9160138"</f>
        <v>9160138</v>
      </c>
      <c r="F3990" s="3" t="s">
        <v>12671</v>
      </c>
      <c r="G3990" s="5">
        <v>2331051223</v>
      </c>
      <c r="H3990" s="4" t="s">
        <v>12672</v>
      </c>
      <c r="I3990" s="4" t="s">
        <v>12446</v>
      </c>
      <c r="J3990" s="4" t="s">
        <v>12673</v>
      </c>
      <c r="K3990" s="4" t="s">
        <v>12674</v>
      </c>
      <c r="L3990" s="5">
        <v>59100</v>
      </c>
    </row>
    <row r="3991" spans="1:12" x14ac:dyDescent="0.25">
      <c r="A3991" s="3" t="s">
        <v>10786</v>
      </c>
      <c r="B3991" s="4" t="s">
        <v>12443</v>
      </c>
      <c r="C3991" s="4" t="s">
        <v>14</v>
      </c>
      <c r="D3991" s="4" t="s">
        <v>15</v>
      </c>
      <c r="E3991" s="5" t="str">
        <f>"9160176"</f>
        <v>9160176</v>
      </c>
      <c r="F3991" s="3" t="s">
        <v>12675</v>
      </c>
      <c r="G3991" s="5">
        <v>2333063278</v>
      </c>
      <c r="H3991" s="4" t="s">
        <v>12676</v>
      </c>
      <c r="I3991" s="4" t="s">
        <v>12501</v>
      </c>
      <c r="J3991" s="4"/>
      <c r="K3991" s="4" t="s">
        <v>12677</v>
      </c>
      <c r="L3991" s="5">
        <v>59032</v>
      </c>
    </row>
    <row r="3992" spans="1:12" x14ac:dyDescent="0.25">
      <c r="A3992" s="3" t="s">
        <v>10786</v>
      </c>
      <c r="B3992" s="4" t="s">
        <v>12678</v>
      </c>
      <c r="C3992" s="4" t="s">
        <v>14</v>
      </c>
      <c r="D3992" s="4" t="s">
        <v>15</v>
      </c>
      <c r="E3992" s="5" t="str">
        <f>"9260187"</f>
        <v>9260187</v>
      </c>
      <c r="F3992" s="3" t="s">
        <v>12679</v>
      </c>
      <c r="G3992" s="5">
        <v>2343041256</v>
      </c>
      <c r="H3992" s="4" t="s">
        <v>12680</v>
      </c>
      <c r="I3992" s="4" t="s">
        <v>12681</v>
      </c>
      <c r="J3992" s="4" t="s">
        <v>12682</v>
      </c>
      <c r="K3992" s="4" t="s">
        <v>12683</v>
      </c>
      <c r="L3992" s="5">
        <v>61300</v>
      </c>
    </row>
    <row r="3993" spans="1:12" x14ac:dyDescent="0.25">
      <c r="A3993" s="3" t="s">
        <v>10786</v>
      </c>
      <c r="B3993" s="4" t="s">
        <v>12678</v>
      </c>
      <c r="C3993" s="4" t="s">
        <v>25</v>
      </c>
      <c r="D3993" s="4" t="s">
        <v>26</v>
      </c>
      <c r="E3993" s="5" t="str">
        <f>"9260051"</f>
        <v>9260051</v>
      </c>
      <c r="F3993" s="3" t="s">
        <v>12684</v>
      </c>
      <c r="G3993" s="5">
        <v>2341075880</v>
      </c>
      <c r="H3993" s="4" t="s">
        <v>12685</v>
      </c>
      <c r="I3993" s="4" t="s">
        <v>12686</v>
      </c>
      <c r="J3993" s="4" t="s">
        <v>11645</v>
      </c>
      <c r="K3993" s="4" t="s">
        <v>11645</v>
      </c>
      <c r="L3993" s="5">
        <v>61100</v>
      </c>
    </row>
    <row r="3994" spans="1:12" x14ac:dyDescent="0.25">
      <c r="A3994" s="3" t="s">
        <v>10786</v>
      </c>
      <c r="B3994" s="4" t="s">
        <v>12678</v>
      </c>
      <c r="C3994" s="4" t="s">
        <v>25</v>
      </c>
      <c r="D3994" s="4" t="s">
        <v>26</v>
      </c>
      <c r="E3994" s="5" t="str">
        <f>"9260180"</f>
        <v>9260180</v>
      </c>
      <c r="F3994" s="3" t="s">
        <v>12687</v>
      </c>
      <c r="G3994" s="5">
        <v>2343061889</v>
      </c>
      <c r="H3994" s="4" t="s">
        <v>12688</v>
      </c>
      <c r="I3994" s="4" t="s">
        <v>12681</v>
      </c>
      <c r="J3994" s="4" t="s">
        <v>12689</v>
      </c>
      <c r="K3994" s="4" t="s">
        <v>12689</v>
      </c>
      <c r="L3994" s="5">
        <v>61007</v>
      </c>
    </row>
    <row r="3995" spans="1:12" x14ac:dyDescent="0.25">
      <c r="A3995" s="3" t="s">
        <v>10786</v>
      </c>
      <c r="B3995" s="4" t="s">
        <v>12678</v>
      </c>
      <c r="C3995" s="4" t="s">
        <v>25</v>
      </c>
      <c r="D3995" s="4" t="s">
        <v>26</v>
      </c>
      <c r="E3995" s="5" t="str">
        <f>"9260097"</f>
        <v>9260097</v>
      </c>
      <c r="F3995" s="3" t="s">
        <v>12690</v>
      </c>
      <c r="G3995" s="5">
        <v>2341064780</v>
      </c>
      <c r="H3995" s="4" t="s">
        <v>12691</v>
      </c>
      <c r="I3995" s="4" t="s">
        <v>12686</v>
      </c>
      <c r="J3995" s="4" t="s">
        <v>12692</v>
      </c>
      <c r="K3995" s="4" t="s">
        <v>12693</v>
      </c>
      <c r="L3995" s="5">
        <v>61100</v>
      </c>
    </row>
    <row r="3996" spans="1:12" x14ac:dyDescent="0.25">
      <c r="A3996" s="3" t="s">
        <v>10786</v>
      </c>
      <c r="B3996" s="4" t="s">
        <v>12678</v>
      </c>
      <c r="C3996" s="4" t="s">
        <v>25</v>
      </c>
      <c r="D3996" s="4" t="s">
        <v>26</v>
      </c>
      <c r="E3996" s="5" t="str">
        <f>"9260189"</f>
        <v>9260189</v>
      </c>
      <c r="F3996" s="3" t="s">
        <v>12694</v>
      </c>
      <c r="G3996" s="5">
        <v>2343041330</v>
      </c>
      <c r="H3996" s="4" t="s">
        <v>12695</v>
      </c>
      <c r="I3996" s="4" t="s">
        <v>12681</v>
      </c>
      <c r="J3996" s="4" t="s">
        <v>12682</v>
      </c>
      <c r="K3996" s="4" t="s">
        <v>12683</v>
      </c>
      <c r="L3996" s="5">
        <v>61300</v>
      </c>
    </row>
    <row r="3997" spans="1:12" x14ac:dyDescent="0.25">
      <c r="A3997" s="3" t="s">
        <v>10786</v>
      </c>
      <c r="B3997" s="4" t="s">
        <v>12678</v>
      </c>
      <c r="C3997" s="4" t="s">
        <v>25</v>
      </c>
      <c r="D3997" s="4" t="s">
        <v>26</v>
      </c>
      <c r="E3997" s="5" t="str">
        <f>"9260254"</f>
        <v>9260254</v>
      </c>
      <c r="F3997" s="3" t="s">
        <v>12696</v>
      </c>
      <c r="G3997" s="5">
        <v>2343024192</v>
      </c>
      <c r="H3997" s="4" t="s">
        <v>12697</v>
      </c>
      <c r="I3997" s="4" t="s">
        <v>12681</v>
      </c>
      <c r="J3997" s="4" t="s">
        <v>12698</v>
      </c>
      <c r="K3997" s="4" t="s">
        <v>10550</v>
      </c>
      <c r="L3997" s="5">
        <v>61200</v>
      </c>
    </row>
    <row r="3998" spans="1:12" x14ac:dyDescent="0.25">
      <c r="A3998" s="3" t="s">
        <v>10786</v>
      </c>
      <c r="B3998" s="4" t="s">
        <v>12678</v>
      </c>
      <c r="C3998" s="4" t="s">
        <v>25</v>
      </c>
      <c r="D3998" s="4" t="s">
        <v>26</v>
      </c>
      <c r="E3998" s="5" t="str">
        <f>"9260168"</f>
        <v>9260168</v>
      </c>
      <c r="F3998" s="3" t="s">
        <v>12699</v>
      </c>
      <c r="G3998" s="5">
        <v>2343022370</v>
      </c>
      <c r="H3998" s="4" t="s">
        <v>12700</v>
      </c>
      <c r="I3998" s="4" t="s">
        <v>12681</v>
      </c>
      <c r="J3998" s="4" t="s">
        <v>12698</v>
      </c>
      <c r="K3998" s="4" t="s">
        <v>12701</v>
      </c>
      <c r="L3998" s="5">
        <v>61200</v>
      </c>
    </row>
    <row r="3999" spans="1:12" x14ac:dyDescent="0.25">
      <c r="A3999" s="3" t="s">
        <v>10786</v>
      </c>
      <c r="B3999" s="4" t="s">
        <v>12678</v>
      </c>
      <c r="C3999" s="4" t="s">
        <v>14</v>
      </c>
      <c r="D3999" s="4" t="s">
        <v>15</v>
      </c>
      <c r="E3999" s="5" t="str">
        <f>"9260186"</f>
        <v>9260186</v>
      </c>
      <c r="F3999" s="3" t="s">
        <v>12702</v>
      </c>
      <c r="G3999" s="5">
        <v>2343041350</v>
      </c>
      <c r="H3999" s="4" t="s">
        <v>12703</v>
      </c>
      <c r="I3999" s="4" t="s">
        <v>12681</v>
      </c>
      <c r="J3999" s="4" t="s">
        <v>12682</v>
      </c>
      <c r="K3999" s="4" t="s">
        <v>12704</v>
      </c>
      <c r="L3999" s="5">
        <v>61300</v>
      </c>
    </row>
    <row r="4000" spans="1:12" x14ac:dyDescent="0.25">
      <c r="A4000" s="3" t="s">
        <v>10786</v>
      </c>
      <c r="B4000" s="4" t="s">
        <v>12678</v>
      </c>
      <c r="C4000" s="4" t="s">
        <v>25</v>
      </c>
      <c r="D4000" s="4" t="s">
        <v>26</v>
      </c>
      <c r="E4000" s="5" t="str">
        <f>"9260228"</f>
        <v>9260228</v>
      </c>
      <c r="F4000" s="3" t="s">
        <v>12705</v>
      </c>
      <c r="G4000" s="5">
        <v>2343022730</v>
      </c>
      <c r="H4000" s="4" t="s">
        <v>12706</v>
      </c>
      <c r="I4000" s="4" t="s">
        <v>12681</v>
      </c>
      <c r="J4000" s="4" t="s">
        <v>12698</v>
      </c>
      <c r="K4000" s="4" t="s">
        <v>12707</v>
      </c>
      <c r="L4000" s="5">
        <v>61200</v>
      </c>
    </row>
    <row r="4001" spans="1:12" x14ac:dyDescent="0.25">
      <c r="A4001" s="3" t="s">
        <v>10786</v>
      </c>
      <c r="B4001" s="4" t="s">
        <v>12678</v>
      </c>
      <c r="C4001" s="4" t="s">
        <v>14</v>
      </c>
      <c r="D4001" s="4" t="s">
        <v>15</v>
      </c>
      <c r="E4001" s="5" t="str">
        <f>"9260006"</f>
        <v>9260006</v>
      </c>
      <c r="F4001" s="3" t="s">
        <v>12708</v>
      </c>
      <c r="G4001" s="5">
        <v>2341022434</v>
      </c>
      <c r="H4001" s="4" t="s">
        <v>12709</v>
      </c>
      <c r="I4001" s="4" t="s">
        <v>12686</v>
      </c>
      <c r="J4001" s="4" t="s">
        <v>12686</v>
      </c>
      <c r="K4001" s="4" t="s">
        <v>12710</v>
      </c>
      <c r="L4001" s="5">
        <v>61100</v>
      </c>
    </row>
    <row r="4002" spans="1:12" x14ac:dyDescent="0.25">
      <c r="A4002" s="3" t="s">
        <v>10786</v>
      </c>
      <c r="B4002" s="4" t="s">
        <v>12678</v>
      </c>
      <c r="C4002" s="4" t="s">
        <v>14</v>
      </c>
      <c r="D4002" s="4" t="s">
        <v>15</v>
      </c>
      <c r="E4002" s="5" t="str">
        <f>"9260249"</f>
        <v>9260249</v>
      </c>
      <c r="F4002" s="3" t="s">
        <v>12711</v>
      </c>
      <c r="G4002" s="5">
        <v>2341026699</v>
      </c>
      <c r="H4002" s="4" t="s">
        <v>12712</v>
      </c>
      <c r="I4002" s="4" t="s">
        <v>12686</v>
      </c>
      <c r="J4002" s="4" t="s">
        <v>12686</v>
      </c>
      <c r="K4002" s="4" t="s">
        <v>12713</v>
      </c>
      <c r="L4002" s="5">
        <v>61100</v>
      </c>
    </row>
    <row r="4003" spans="1:12" x14ac:dyDescent="0.25">
      <c r="A4003" s="3" t="s">
        <v>10786</v>
      </c>
      <c r="B4003" s="4" t="s">
        <v>12678</v>
      </c>
      <c r="C4003" s="4" t="s">
        <v>14</v>
      </c>
      <c r="D4003" s="4" t="s">
        <v>15</v>
      </c>
      <c r="E4003" s="5" t="str">
        <f>"9260059"</f>
        <v>9260059</v>
      </c>
      <c r="F4003" s="3" t="s">
        <v>12714</v>
      </c>
      <c r="G4003" s="5">
        <v>2341041318</v>
      </c>
      <c r="H4003" s="4" t="s">
        <v>12715</v>
      </c>
      <c r="I4003" s="4" t="s">
        <v>12686</v>
      </c>
      <c r="J4003" s="4" t="s">
        <v>12716</v>
      </c>
      <c r="K4003" s="4" t="s">
        <v>12716</v>
      </c>
      <c r="L4003" s="5">
        <v>61100</v>
      </c>
    </row>
    <row r="4004" spans="1:12" x14ac:dyDescent="0.25">
      <c r="A4004" s="3" t="s">
        <v>10786</v>
      </c>
      <c r="B4004" s="4" t="s">
        <v>12678</v>
      </c>
      <c r="C4004" s="4" t="s">
        <v>25</v>
      </c>
      <c r="D4004" s="4" t="s">
        <v>26</v>
      </c>
      <c r="E4004" s="5" t="str">
        <f>"9260128"</f>
        <v>9260128</v>
      </c>
      <c r="F4004" s="3" t="s">
        <v>12717</v>
      </c>
      <c r="G4004" s="5">
        <v>2341075806</v>
      </c>
      <c r="H4004" s="4" t="s">
        <v>12718</v>
      </c>
      <c r="I4004" s="4" t="s">
        <v>12686</v>
      </c>
      <c r="J4004" s="4" t="s">
        <v>12719</v>
      </c>
      <c r="K4004" s="4" t="s">
        <v>12720</v>
      </c>
      <c r="L4004" s="5">
        <v>61002</v>
      </c>
    </row>
    <row r="4005" spans="1:12" x14ac:dyDescent="0.25">
      <c r="A4005" s="3" t="s">
        <v>10786</v>
      </c>
      <c r="B4005" s="4" t="s">
        <v>12678</v>
      </c>
      <c r="C4005" s="4" t="s">
        <v>14</v>
      </c>
      <c r="D4005" s="4" t="s">
        <v>15</v>
      </c>
      <c r="E4005" s="5" t="str">
        <f>"9260193"</f>
        <v>9260193</v>
      </c>
      <c r="F4005" s="3" t="s">
        <v>12721</v>
      </c>
      <c r="G4005" s="5">
        <v>2343061150</v>
      </c>
      <c r="H4005" s="4" t="s">
        <v>12722</v>
      </c>
      <c r="I4005" s="4" t="s">
        <v>12681</v>
      </c>
      <c r="J4005" s="4" t="s">
        <v>12723</v>
      </c>
      <c r="K4005" s="4" t="s">
        <v>12723</v>
      </c>
      <c r="L4005" s="5">
        <v>61007</v>
      </c>
    </row>
    <row r="4006" spans="1:12" x14ac:dyDescent="0.25">
      <c r="A4006" s="3" t="s">
        <v>10786</v>
      </c>
      <c r="B4006" s="4" t="s">
        <v>12678</v>
      </c>
      <c r="C4006" s="4" t="s">
        <v>25</v>
      </c>
      <c r="D4006" s="4" t="s">
        <v>26</v>
      </c>
      <c r="E4006" s="5" t="str">
        <f>"9260007"</f>
        <v>9260007</v>
      </c>
      <c r="F4006" s="3" t="s">
        <v>12724</v>
      </c>
      <c r="G4006" s="5">
        <v>2341023405</v>
      </c>
      <c r="H4006" s="4" t="s">
        <v>12725</v>
      </c>
      <c r="I4006" s="4" t="s">
        <v>12686</v>
      </c>
      <c r="J4006" s="4" t="s">
        <v>12686</v>
      </c>
      <c r="K4006" s="4" t="s">
        <v>12713</v>
      </c>
      <c r="L4006" s="5">
        <v>61100</v>
      </c>
    </row>
    <row r="4007" spans="1:12" x14ac:dyDescent="0.25">
      <c r="A4007" s="3" t="s">
        <v>10786</v>
      </c>
      <c r="B4007" s="4" t="s">
        <v>12678</v>
      </c>
      <c r="C4007" s="4" t="s">
        <v>14</v>
      </c>
      <c r="D4007" s="4" t="s">
        <v>15</v>
      </c>
      <c r="E4007" s="5" t="str">
        <f>"9260084"</f>
        <v>9260084</v>
      </c>
      <c r="F4007" s="3" t="s">
        <v>12726</v>
      </c>
      <c r="G4007" s="5">
        <v>2341071595</v>
      </c>
      <c r="H4007" s="4" t="s">
        <v>12727</v>
      </c>
      <c r="I4007" s="4" t="s">
        <v>12686</v>
      </c>
      <c r="J4007" s="4" t="s">
        <v>12728</v>
      </c>
      <c r="K4007" s="4" t="s">
        <v>12728</v>
      </c>
      <c r="L4007" s="5">
        <v>61100</v>
      </c>
    </row>
    <row r="4008" spans="1:12" x14ac:dyDescent="0.25">
      <c r="A4008" s="3" t="s">
        <v>10786</v>
      </c>
      <c r="B4008" s="4" t="s">
        <v>12678</v>
      </c>
      <c r="C4008" s="4" t="s">
        <v>25</v>
      </c>
      <c r="D4008" s="4" t="s">
        <v>26</v>
      </c>
      <c r="E4008" s="5" t="str">
        <f>"9260247"</f>
        <v>9260247</v>
      </c>
      <c r="F4008" s="3" t="s">
        <v>12729</v>
      </c>
      <c r="G4008" s="5">
        <v>2341020692</v>
      </c>
      <c r="H4008" s="4" t="s">
        <v>12730</v>
      </c>
      <c r="I4008" s="4" t="s">
        <v>12686</v>
      </c>
      <c r="J4008" s="4" t="s">
        <v>12686</v>
      </c>
      <c r="K4008" s="4" t="s">
        <v>12713</v>
      </c>
      <c r="L4008" s="5">
        <v>61100</v>
      </c>
    </row>
    <row r="4009" spans="1:12" x14ac:dyDescent="0.25">
      <c r="A4009" s="3" t="s">
        <v>10786</v>
      </c>
      <c r="B4009" s="4" t="s">
        <v>12678</v>
      </c>
      <c r="C4009" s="4" t="s">
        <v>14</v>
      </c>
      <c r="D4009" s="4" t="s">
        <v>15</v>
      </c>
      <c r="E4009" s="5" t="str">
        <f>"9260169"</f>
        <v>9260169</v>
      </c>
      <c r="F4009" s="3" t="s">
        <v>12731</v>
      </c>
      <c r="G4009" s="5">
        <v>2343022444</v>
      </c>
      <c r="H4009" s="4" t="s">
        <v>12732</v>
      </c>
      <c r="I4009" s="4" t="s">
        <v>12681</v>
      </c>
      <c r="J4009" s="4" t="s">
        <v>12733</v>
      </c>
      <c r="K4009" s="4" t="s">
        <v>2260</v>
      </c>
      <c r="L4009" s="5">
        <v>61200</v>
      </c>
    </row>
    <row r="4010" spans="1:12" x14ac:dyDescent="0.25">
      <c r="A4010" s="3" t="s">
        <v>10786</v>
      </c>
      <c r="B4010" s="4" t="s">
        <v>12678</v>
      </c>
      <c r="C4010" s="4" t="s">
        <v>14</v>
      </c>
      <c r="D4010" s="4" t="s">
        <v>830</v>
      </c>
      <c r="E4010" s="5" t="str">
        <f>"9260242"</f>
        <v>9260242</v>
      </c>
      <c r="F4010" s="3" t="s">
        <v>12734</v>
      </c>
      <c r="G4010" s="5">
        <v>2341029424</v>
      </c>
      <c r="H4010" s="4" t="s">
        <v>12735</v>
      </c>
      <c r="I4010" s="4" t="s">
        <v>12686</v>
      </c>
      <c r="J4010" s="4" t="s">
        <v>12686</v>
      </c>
      <c r="K4010" s="4" t="s">
        <v>12736</v>
      </c>
      <c r="L4010" s="5">
        <v>61100</v>
      </c>
    </row>
    <row r="4011" spans="1:12" x14ac:dyDescent="0.25">
      <c r="A4011" s="3" t="s">
        <v>10786</v>
      </c>
      <c r="B4011" s="4" t="s">
        <v>12678</v>
      </c>
      <c r="C4011" s="4" t="s">
        <v>14</v>
      </c>
      <c r="D4011" s="4" t="s">
        <v>15</v>
      </c>
      <c r="E4011" s="5" t="str">
        <f>"9260137"</f>
        <v>9260137</v>
      </c>
      <c r="F4011" s="3" t="s">
        <v>12737</v>
      </c>
      <c r="G4011" s="5">
        <v>2341093475</v>
      </c>
      <c r="H4011" s="4" t="s">
        <v>12738</v>
      </c>
      <c r="I4011" s="4" t="s">
        <v>12686</v>
      </c>
      <c r="J4011" s="4" t="s">
        <v>12739</v>
      </c>
      <c r="K4011" s="4" t="s">
        <v>12168</v>
      </c>
      <c r="L4011" s="5">
        <v>57011</v>
      </c>
    </row>
    <row r="4012" spans="1:12" x14ac:dyDescent="0.25">
      <c r="A4012" s="3" t="s">
        <v>10786</v>
      </c>
      <c r="B4012" s="4" t="s">
        <v>12678</v>
      </c>
      <c r="C4012" s="4" t="s">
        <v>25</v>
      </c>
      <c r="D4012" s="4" t="s">
        <v>26</v>
      </c>
      <c r="E4012" s="5" t="str">
        <f>"9520699"</f>
        <v>9520699</v>
      </c>
      <c r="F4012" s="3" t="s">
        <v>12740</v>
      </c>
      <c r="G4012" s="5">
        <v>2341024995</v>
      </c>
      <c r="H4012" s="4" t="s">
        <v>12741</v>
      </c>
      <c r="I4012" s="4" t="s">
        <v>12686</v>
      </c>
      <c r="J4012" s="4" t="s">
        <v>12686</v>
      </c>
      <c r="K4012" s="4" t="s">
        <v>12742</v>
      </c>
      <c r="L4012" s="5">
        <v>61100</v>
      </c>
    </row>
    <row r="4013" spans="1:12" x14ac:dyDescent="0.25">
      <c r="A4013" s="3" t="s">
        <v>10786</v>
      </c>
      <c r="B4013" s="4" t="s">
        <v>12678</v>
      </c>
      <c r="C4013" s="4" t="s">
        <v>14</v>
      </c>
      <c r="D4013" s="4" t="s">
        <v>15</v>
      </c>
      <c r="E4013" s="5" t="str">
        <f>"9260040"</f>
        <v>9260040</v>
      </c>
      <c r="F4013" s="3" t="s">
        <v>12743</v>
      </c>
      <c r="G4013" s="5">
        <v>2341041486</v>
      </c>
      <c r="H4013" s="4" t="s">
        <v>12744</v>
      </c>
      <c r="I4013" s="4" t="s">
        <v>12686</v>
      </c>
      <c r="J4013" s="4" t="s">
        <v>12745</v>
      </c>
      <c r="K4013" s="4" t="s">
        <v>12745</v>
      </c>
      <c r="L4013" s="5">
        <v>61100</v>
      </c>
    </row>
    <row r="4014" spans="1:12" x14ac:dyDescent="0.25">
      <c r="A4014" s="3" t="s">
        <v>10786</v>
      </c>
      <c r="B4014" s="4" t="s">
        <v>12678</v>
      </c>
      <c r="C4014" s="4" t="s">
        <v>14</v>
      </c>
      <c r="D4014" s="4" t="s">
        <v>15</v>
      </c>
      <c r="E4014" s="5" t="str">
        <f>"9260013"</f>
        <v>9260013</v>
      </c>
      <c r="F4014" s="3" t="s">
        <v>12746</v>
      </c>
      <c r="G4014" s="5">
        <v>2341028593</v>
      </c>
      <c r="H4014" s="4" t="s">
        <v>12747</v>
      </c>
      <c r="I4014" s="4" t="s">
        <v>12686</v>
      </c>
      <c r="J4014" s="4" t="s">
        <v>12686</v>
      </c>
      <c r="K4014" s="4" t="s">
        <v>12748</v>
      </c>
      <c r="L4014" s="5">
        <v>61100</v>
      </c>
    </row>
    <row r="4015" spans="1:12" x14ac:dyDescent="0.25">
      <c r="A4015" s="3" t="s">
        <v>10786</v>
      </c>
      <c r="B4015" s="4" t="s">
        <v>12678</v>
      </c>
      <c r="C4015" s="4" t="s">
        <v>14</v>
      </c>
      <c r="D4015" s="4" t="s">
        <v>15</v>
      </c>
      <c r="E4015" s="5" t="str">
        <f>"9520625"</f>
        <v>9520625</v>
      </c>
      <c r="F4015" s="3" t="s">
        <v>12749</v>
      </c>
      <c r="G4015" s="5">
        <v>2341022427</v>
      </c>
      <c r="H4015" s="4" t="s">
        <v>12750</v>
      </c>
      <c r="I4015" s="4" t="s">
        <v>12686</v>
      </c>
      <c r="J4015" s="4" t="s">
        <v>12686</v>
      </c>
      <c r="K4015" s="4" t="s">
        <v>12751</v>
      </c>
      <c r="L4015" s="5">
        <v>61100</v>
      </c>
    </row>
    <row r="4016" spans="1:12" x14ac:dyDescent="0.25">
      <c r="A4016" s="3" t="s">
        <v>10786</v>
      </c>
      <c r="B4016" s="4" t="s">
        <v>12678</v>
      </c>
      <c r="C4016" s="4" t="s">
        <v>14</v>
      </c>
      <c r="D4016" s="4" t="s">
        <v>15</v>
      </c>
      <c r="E4016" s="5" t="str">
        <f>"9260008"</f>
        <v>9260008</v>
      </c>
      <c r="F4016" s="3" t="s">
        <v>12752</v>
      </c>
      <c r="G4016" s="5">
        <v>2341022539</v>
      </c>
      <c r="H4016" s="4" t="s">
        <v>12753</v>
      </c>
      <c r="I4016" s="4" t="s">
        <v>12686</v>
      </c>
      <c r="J4016" s="4" t="s">
        <v>12686</v>
      </c>
      <c r="K4016" s="4" t="s">
        <v>12754</v>
      </c>
      <c r="L4016" s="5">
        <v>61100</v>
      </c>
    </row>
    <row r="4017" spans="1:12" x14ac:dyDescent="0.25">
      <c r="A4017" s="3" t="s">
        <v>10786</v>
      </c>
      <c r="B4017" s="4" t="s">
        <v>12678</v>
      </c>
      <c r="C4017" s="4" t="s">
        <v>25</v>
      </c>
      <c r="D4017" s="4" t="s">
        <v>26</v>
      </c>
      <c r="E4017" s="5" t="str">
        <f>"9260245"</f>
        <v>9260245</v>
      </c>
      <c r="F4017" s="3" t="s">
        <v>12755</v>
      </c>
      <c r="G4017" s="5">
        <v>2341025255</v>
      </c>
      <c r="H4017" s="4" t="s">
        <v>12756</v>
      </c>
      <c r="I4017" s="4" t="s">
        <v>12686</v>
      </c>
      <c r="J4017" s="4" t="s">
        <v>12686</v>
      </c>
      <c r="K4017" s="4" t="s">
        <v>12757</v>
      </c>
      <c r="L4017" s="5">
        <v>61100</v>
      </c>
    </row>
    <row r="4018" spans="1:12" x14ac:dyDescent="0.25">
      <c r="A4018" s="3" t="s">
        <v>10786</v>
      </c>
      <c r="B4018" s="4" t="s">
        <v>12678</v>
      </c>
      <c r="C4018" s="4" t="s">
        <v>14</v>
      </c>
      <c r="D4018" s="4" t="s">
        <v>15</v>
      </c>
      <c r="E4018" s="5" t="str">
        <f>"9260181"</f>
        <v>9260181</v>
      </c>
      <c r="F4018" s="3" t="s">
        <v>12758</v>
      </c>
      <c r="G4018" s="5">
        <v>2343061310</v>
      </c>
      <c r="H4018" s="4" t="s">
        <v>12759</v>
      </c>
      <c r="I4018" s="4" t="s">
        <v>12681</v>
      </c>
      <c r="J4018" s="4"/>
      <c r="K4018" s="4" t="s">
        <v>12689</v>
      </c>
      <c r="L4018" s="5">
        <v>61007</v>
      </c>
    </row>
    <row r="4019" spans="1:12" x14ac:dyDescent="0.25">
      <c r="A4019" s="3" t="s">
        <v>10786</v>
      </c>
      <c r="B4019" s="4" t="s">
        <v>12678</v>
      </c>
      <c r="C4019" s="4" t="s">
        <v>14</v>
      </c>
      <c r="D4019" s="4" t="s">
        <v>15</v>
      </c>
      <c r="E4019" s="5" t="str">
        <f>"9260010"</f>
        <v>9260010</v>
      </c>
      <c r="F4019" s="3" t="s">
        <v>12760</v>
      </c>
      <c r="G4019" s="5">
        <v>2341024604</v>
      </c>
      <c r="H4019" s="4" t="s">
        <v>12761</v>
      </c>
      <c r="I4019" s="4" t="s">
        <v>12686</v>
      </c>
      <c r="J4019" s="4" t="s">
        <v>12686</v>
      </c>
      <c r="K4019" s="4" t="s">
        <v>12762</v>
      </c>
      <c r="L4019" s="5">
        <v>61100</v>
      </c>
    </row>
    <row r="4020" spans="1:12" x14ac:dyDescent="0.25">
      <c r="A4020" s="3" t="s">
        <v>10786</v>
      </c>
      <c r="B4020" s="4" t="s">
        <v>12678</v>
      </c>
      <c r="C4020" s="4" t="s">
        <v>25</v>
      </c>
      <c r="D4020" s="4" t="s">
        <v>26</v>
      </c>
      <c r="E4020" s="5" t="str">
        <f>"9260012"</f>
        <v>9260012</v>
      </c>
      <c r="F4020" s="3" t="s">
        <v>12763</v>
      </c>
      <c r="G4020" s="5">
        <v>2341020412</v>
      </c>
      <c r="H4020" s="4" t="s">
        <v>12764</v>
      </c>
      <c r="I4020" s="4" t="s">
        <v>12686</v>
      </c>
      <c r="J4020" s="4" t="s">
        <v>12686</v>
      </c>
      <c r="K4020" s="4" t="s">
        <v>12765</v>
      </c>
      <c r="L4020" s="5">
        <v>61100</v>
      </c>
    </row>
    <row r="4021" spans="1:12" x14ac:dyDescent="0.25">
      <c r="A4021" s="3" t="s">
        <v>10786</v>
      </c>
      <c r="B4021" s="4" t="s">
        <v>12678</v>
      </c>
      <c r="C4021" s="4" t="s">
        <v>14</v>
      </c>
      <c r="D4021" s="4" t="s">
        <v>15</v>
      </c>
      <c r="E4021" s="5" t="str">
        <f>"9520688"</f>
        <v>9520688</v>
      </c>
      <c r="F4021" s="3" t="s">
        <v>12766</v>
      </c>
      <c r="G4021" s="5">
        <v>2341026694</v>
      </c>
      <c r="H4021" s="4" t="s">
        <v>12767</v>
      </c>
      <c r="I4021" s="4" t="s">
        <v>12686</v>
      </c>
      <c r="J4021" s="4" t="s">
        <v>12686</v>
      </c>
      <c r="K4021" s="4" t="s">
        <v>12768</v>
      </c>
      <c r="L4021" s="5">
        <v>61100</v>
      </c>
    </row>
    <row r="4022" spans="1:12" x14ac:dyDescent="0.25">
      <c r="A4022" s="3" t="s">
        <v>10786</v>
      </c>
      <c r="B4022" s="4" t="s">
        <v>12678</v>
      </c>
      <c r="C4022" s="4" t="s">
        <v>14</v>
      </c>
      <c r="D4022" s="4" t="s">
        <v>15</v>
      </c>
      <c r="E4022" s="5" t="str">
        <f>"9520881"</f>
        <v>9520881</v>
      </c>
      <c r="F4022" s="3" t="s">
        <v>12769</v>
      </c>
      <c r="G4022" s="5">
        <v>2343032542</v>
      </c>
      <c r="H4022" s="4" t="s">
        <v>12770</v>
      </c>
      <c r="I4022" s="4" t="s">
        <v>12681</v>
      </c>
      <c r="J4022" s="4" t="s">
        <v>12771</v>
      </c>
      <c r="K4022" s="4" t="s">
        <v>12772</v>
      </c>
      <c r="L4022" s="5">
        <v>61400</v>
      </c>
    </row>
    <row r="4023" spans="1:12" x14ac:dyDescent="0.25">
      <c r="A4023" s="3" t="s">
        <v>10786</v>
      </c>
      <c r="B4023" s="4" t="s">
        <v>12678</v>
      </c>
      <c r="C4023" s="4" t="s">
        <v>25</v>
      </c>
      <c r="D4023" s="4" t="s">
        <v>26</v>
      </c>
      <c r="E4023" s="5" t="str">
        <f>"9260241"</f>
        <v>9260241</v>
      </c>
      <c r="F4023" s="3" t="s">
        <v>12773</v>
      </c>
      <c r="G4023" s="5">
        <v>2341024928</v>
      </c>
      <c r="H4023" s="4" t="s">
        <v>12774</v>
      </c>
      <c r="I4023" s="4" t="s">
        <v>12686</v>
      </c>
      <c r="J4023" s="4" t="s">
        <v>12686</v>
      </c>
      <c r="K4023" s="4" t="s">
        <v>12775</v>
      </c>
      <c r="L4023" s="5">
        <v>61100</v>
      </c>
    </row>
    <row r="4024" spans="1:12" x14ac:dyDescent="0.25">
      <c r="A4024" s="3" t="s">
        <v>10786</v>
      </c>
      <c r="B4024" s="4" t="s">
        <v>12678</v>
      </c>
      <c r="C4024" s="4" t="s">
        <v>25</v>
      </c>
      <c r="D4024" s="4" t="s">
        <v>26</v>
      </c>
      <c r="E4024" s="5" t="str">
        <f>"9260011"</f>
        <v>9260011</v>
      </c>
      <c r="F4024" s="3" t="s">
        <v>12776</v>
      </c>
      <c r="G4024" s="5">
        <v>2341028394</v>
      </c>
      <c r="H4024" s="4" t="s">
        <v>12777</v>
      </c>
      <c r="I4024" s="4" t="s">
        <v>12686</v>
      </c>
      <c r="J4024" s="4" t="s">
        <v>12686</v>
      </c>
      <c r="K4024" s="4" t="s">
        <v>12778</v>
      </c>
      <c r="L4024" s="5">
        <v>61100</v>
      </c>
    </row>
    <row r="4025" spans="1:12" x14ac:dyDescent="0.25">
      <c r="A4025" s="3" t="s">
        <v>10786</v>
      </c>
      <c r="B4025" s="4" t="s">
        <v>12678</v>
      </c>
      <c r="C4025" s="4" t="s">
        <v>25</v>
      </c>
      <c r="D4025" s="4" t="s">
        <v>26</v>
      </c>
      <c r="E4025" s="5" t="str">
        <f>"9260009"</f>
        <v>9260009</v>
      </c>
      <c r="F4025" s="3" t="s">
        <v>12779</v>
      </c>
      <c r="G4025" s="5">
        <v>2341028113</v>
      </c>
      <c r="H4025" s="4" t="s">
        <v>12780</v>
      </c>
      <c r="I4025" s="4" t="s">
        <v>12686</v>
      </c>
      <c r="J4025" s="4" t="s">
        <v>12686</v>
      </c>
      <c r="K4025" s="4" t="s">
        <v>12781</v>
      </c>
      <c r="L4025" s="5">
        <v>61100</v>
      </c>
    </row>
    <row r="4026" spans="1:12" x14ac:dyDescent="0.25">
      <c r="A4026" s="3" t="s">
        <v>10786</v>
      </c>
      <c r="B4026" s="4" t="s">
        <v>12678</v>
      </c>
      <c r="C4026" s="4" t="s">
        <v>14</v>
      </c>
      <c r="D4026" s="4" t="s">
        <v>15</v>
      </c>
      <c r="E4026" s="5" t="str">
        <f>"9260098"</f>
        <v>9260098</v>
      </c>
      <c r="F4026" s="3" t="s">
        <v>12782</v>
      </c>
      <c r="G4026" s="5">
        <v>2341350308</v>
      </c>
      <c r="H4026" s="4" t="s">
        <v>12783</v>
      </c>
      <c r="I4026" s="4" t="s">
        <v>12686</v>
      </c>
      <c r="J4026" s="4" t="s">
        <v>12693</v>
      </c>
      <c r="K4026" s="4" t="s">
        <v>12693</v>
      </c>
      <c r="L4026" s="5">
        <v>61100</v>
      </c>
    </row>
    <row r="4027" spans="1:12" x14ac:dyDescent="0.25">
      <c r="A4027" s="3" t="s">
        <v>10786</v>
      </c>
      <c r="B4027" s="4" t="s">
        <v>12678</v>
      </c>
      <c r="C4027" s="4" t="s">
        <v>14</v>
      </c>
      <c r="D4027" s="4" t="s">
        <v>15</v>
      </c>
      <c r="E4027" s="5" t="str">
        <f>"9260177"</f>
        <v>9260177</v>
      </c>
      <c r="F4027" s="3" t="s">
        <v>12784</v>
      </c>
      <c r="G4027" s="5">
        <v>2343031240</v>
      </c>
      <c r="H4027" s="4" t="s">
        <v>12785</v>
      </c>
      <c r="I4027" s="4" t="s">
        <v>12681</v>
      </c>
      <c r="J4027" s="4" t="s">
        <v>12786</v>
      </c>
      <c r="K4027" s="4" t="s">
        <v>12787</v>
      </c>
      <c r="L4027" s="5">
        <v>61400</v>
      </c>
    </row>
    <row r="4028" spans="1:12" x14ac:dyDescent="0.25">
      <c r="A4028" s="3" t="s">
        <v>10786</v>
      </c>
      <c r="B4028" s="4" t="s">
        <v>12678</v>
      </c>
      <c r="C4028" s="4" t="s">
        <v>14</v>
      </c>
      <c r="D4028" s="4" t="s">
        <v>15</v>
      </c>
      <c r="E4028" s="5" t="str">
        <f>"9260235"</f>
        <v>9260235</v>
      </c>
      <c r="F4028" s="3" t="s">
        <v>12788</v>
      </c>
      <c r="G4028" s="5">
        <v>2343023248</v>
      </c>
      <c r="H4028" s="4" t="s">
        <v>12789</v>
      </c>
      <c r="I4028" s="4" t="s">
        <v>12681</v>
      </c>
      <c r="J4028" s="4" t="s">
        <v>12698</v>
      </c>
      <c r="K4028" s="4" t="s">
        <v>12790</v>
      </c>
      <c r="L4028" s="5">
        <v>61200</v>
      </c>
    </row>
    <row r="4029" spans="1:12" x14ac:dyDescent="0.25">
      <c r="A4029" s="3" t="s">
        <v>10786</v>
      </c>
      <c r="B4029" s="4" t="s">
        <v>12678</v>
      </c>
      <c r="C4029" s="4" t="s">
        <v>14</v>
      </c>
      <c r="D4029" s="4" t="s">
        <v>15</v>
      </c>
      <c r="E4029" s="5" t="str">
        <f>"9260250"</f>
        <v>9260250</v>
      </c>
      <c r="F4029" s="3" t="s">
        <v>12791</v>
      </c>
      <c r="G4029" s="5">
        <v>2343022857</v>
      </c>
      <c r="H4029" s="4" t="s">
        <v>12792</v>
      </c>
      <c r="I4029" s="4" t="s">
        <v>12681</v>
      </c>
      <c r="J4029" s="4" t="s">
        <v>12698</v>
      </c>
      <c r="K4029" s="4" t="s">
        <v>12793</v>
      </c>
      <c r="L4029" s="5">
        <v>61200</v>
      </c>
    </row>
    <row r="4030" spans="1:12" x14ac:dyDescent="0.25">
      <c r="A4030" s="3" t="s">
        <v>10786</v>
      </c>
      <c r="B4030" s="4" t="s">
        <v>12678</v>
      </c>
      <c r="C4030" s="4" t="s">
        <v>14</v>
      </c>
      <c r="D4030" s="4" t="s">
        <v>15</v>
      </c>
      <c r="E4030" s="5" t="str">
        <f>"9260020"</f>
        <v>9260020</v>
      </c>
      <c r="F4030" s="3" t="s">
        <v>12794</v>
      </c>
      <c r="G4030" s="5">
        <v>2341031230</v>
      </c>
      <c r="H4030" s="4" t="s">
        <v>12795</v>
      </c>
      <c r="I4030" s="4" t="s">
        <v>12686</v>
      </c>
      <c r="J4030" s="4" t="s">
        <v>12796</v>
      </c>
      <c r="K4030" s="4" t="s">
        <v>12796</v>
      </c>
      <c r="L4030" s="5">
        <v>61003</v>
      </c>
    </row>
    <row r="4031" spans="1:12" x14ac:dyDescent="0.25">
      <c r="A4031" s="3" t="s">
        <v>10786</v>
      </c>
      <c r="B4031" s="4" t="s">
        <v>12678</v>
      </c>
      <c r="C4031" s="4" t="s">
        <v>14</v>
      </c>
      <c r="D4031" s="4" t="s">
        <v>15</v>
      </c>
      <c r="E4031" s="5" t="str">
        <f>"9260052"</f>
        <v>9260052</v>
      </c>
      <c r="F4031" s="3" t="s">
        <v>12797</v>
      </c>
      <c r="G4031" s="5">
        <v>2341086203</v>
      </c>
      <c r="H4031" s="4" t="s">
        <v>12798</v>
      </c>
      <c r="I4031" s="4" t="s">
        <v>12686</v>
      </c>
      <c r="J4031" s="4" t="s">
        <v>11645</v>
      </c>
      <c r="K4031" s="4" t="s">
        <v>11645</v>
      </c>
      <c r="L4031" s="5">
        <v>61100</v>
      </c>
    </row>
    <row r="4032" spans="1:12" x14ac:dyDescent="0.25">
      <c r="A4032" s="3" t="s">
        <v>10786</v>
      </c>
      <c r="B4032" s="4" t="s">
        <v>12678</v>
      </c>
      <c r="C4032" s="4" t="s">
        <v>25</v>
      </c>
      <c r="D4032" s="4" t="s">
        <v>26</v>
      </c>
      <c r="E4032" s="5" t="str">
        <f>"9260253"</f>
        <v>9260253</v>
      </c>
      <c r="F4032" s="3" t="s">
        <v>12799</v>
      </c>
      <c r="G4032" s="5">
        <v>2341023947</v>
      </c>
      <c r="H4032" s="4" t="s">
        <v>12800</v>
      </c>
      <c r="I4032" s="4" t="s">
        <v>12686</v>
      </c>
      <c r="J4032" s="4" t="s">
        <v>12686</v>
      </c>
      <c r="K4032" s="4" t="s">
        <v>12801</v>
      </c>
      <c r="L4032" s="5">
        <v>61100</v>
      </c>
    </row>
    <row r="4033" spans="1:12" x14ac:dyDescent="0.25">
      <c r="A4033" s="3" t="s">
        <v>10786</v>
      </c>
      <c r="B4033" s="4" t="s">
        <v>12678</v>
      </c>
      <c r="C4033" s="4" t="s">
        <v>14</v>
      </c>
      <c r="D4033" s="4" t="s">
        <v>15</v>
      </c>
      <c r="E4033" s="5" t="str">
        <f>"9260129"</f>
        <v>9260129</v>
      </c>
      <c r="F4033" s="3" t="s">
        <v>12802</v>
      </c>
      <c r="G4033" s="5">
        <v>2341051883</v>
      </c>
      <c r="H4033" s="4" t="s">
        <v>12803</v>
      </c>
      <c r="I4033" s="4" t="s">
        <v>12686</v>
      </c>
      <c r="J4033" s="4" t="s">
        <v>12804</v>
      </c>
      <c r="K4033" s="4" t="s">
        <v>12720</v>
      </c>
      <c r="L4033" s="5">
        <v>61100</v>
      </c>
    </row>
    <row r="4034" spans="1:12" x14ac:dyDescent="0.25">
      <c r="A4034" s="3" t="s">
        <v>10786</v>
      </c>
      <c r="B4034" s="4" t="s">
        <v>12678</v>
      </c>
      <c r="C4034" s="4" t="s">
        <v>14</v>
      </c>
      <c r="D4034" s="4" t="s">
        <v>15</v>
      </c>
      <c r="E4034" s="5" t="str">
        <f>"9521058"</f>
        <v>9521058</v>
      </c>
      <c r="F4034" s="3" t="s">
        <v>12805</v>
      </c>
      <c r="G4034" s="5">
        <v>2341076455</v>
      </c>
      <c r="H4034" s="4" t="s">
        <v>12806</v>
      </c>
      <c r="I4034" s="4" t="s">
        <v>12686</v>
      </c>
      <c r="J4034" s="4" t="s">
        <v>12686</v>
      </c>
      <c r="K4034" s="4" t="s">
        <v>12807</v>
      </c>
      <c r="L4034" s="5">
        <v>61100</v>
      </c>
    </row>
    <row r="4035" spans="1:12" x14ac:dyDescent="0.25">
      <c r="A4035" s="3" t="s">
        <v>10786</v>
      </c>
      <c r="B4035" s="4" t="s">
        <v>12678</v>
      </c>
      <c r="C4035" s="4" t="s">
        <v>25</v>
      </c>
      <c r="D4035" s="4" t="s">
        <v>26</v>
      </c>
      <c r="E4035" s="5" t="str">
        <f>"9521222"</f>
        <v>9521222</v>
      </c>
      <c r="F4035" s="3" t="s">
        <v>12808</v>
      </c>
      <c r="G4035" s="5">
        <v>2341070623</v>
      </c>
      <c r="H4035" s="4" t="s">
        <v>12809</v>
      </c>
      <c r="I4035" s="4" t="s">
        <v>12686</v>
      </c>
      <c r="J4035" s="4" t="s">
        <v>12686</v>
      </c>
      <c r="K4035" s="4" t="s">
        <v>11934</v>
      </c>
      <c r="L4035" s="5">
        <v>61100</v>
      </c>
    </row>
    <row r="4036" spans="1:12" x14ac:dyDescent="0.25">
      <c r="A4036" s="3" t="s">
        <v>10786</v>
      </c>
      <c r="B4036" s="4" t="s">
        <v>12678</v>
      </c>
      <c r="C4036" s="4" t="s">
        <v>25</v>
      </c>
      <c r="D4036" s="4" t="s">
        <v>26</v>
      </c>
      <c r="E4036" s="5" t="str">
        <f>"9521371"</f>
        <v>9521371</v>
      </c>
      <c r="F4036" s="3" t="s">
        <v>12810</v>
      </c>
      <c r="G4036" s="5">
        <v>2341076213</v>
      </c>
      <c r="H4036" s="4" t="s">
        <v>12811</v>
      </c>
      <c r="I4036" s="4" t="s">
        <v>12686</v>
      </c>
      <c r="J4036" s="4" t="s">
        <v>12686</v>
      </c>
      <c r="K4036" s="4" t="s">
        <v>12812</v>
      </c>
      <c r="L4036" s="5">
        <v>61100</v>
      </c>
    </row>
    <row r="4037" spans="1:12" x14ac:dyDescent="0.25">
      <c r="A4037" s="3" t="s">
        <v>10786</v>
      </c>
      <c r="B4037" s="4" t="s">
        <v>12813</v>
      </c>
      <c r="C4037" s="4" t="s">
        <v>14</v>
      </c>
      <c r="D4037" s="4" t="s">
        <v>15</v>
      </c>
      <c r="E4037" s="5" t="str">
        <f>"9380200"</f>
        <v>9380200</v>
      </c>
      <c r="F4037" s="3" t="s">
        <v>12814</v>
      </c>
      <c r="G4037" s="5">
        <v>2384031286</v>
      </c>
      <c r="H4037" s="4" t="s">
        <v>12815</v>
      </c>
      <c r="I4037" s="4" t="s">
        <v>12816</v>
      </c>
      <c r="J4037" s="4" t="s">
        <v>12817</v>
      </c>
      <c r="K4037" s="4" t="s">
        <v>12818</v>
      </c>
      <c r="L4037" s="5">
        <v>58400</v>
      </c>
    </row>
    <row r="4038" spans="1:12" x14ac:dyDescent="0.25">
      <c r="A4038" s="3" t="s">
        <v>10786</v>
      </c>
      <c r="B4038" s="4" t="s">
        <v>12813</v>
      </c>
      <c r="C4038" s="4" t="s">
        <v>25</v>
      </c>
      <c r="D4038" s="4" t="s">
        <v>26</v>
      </c>
      <c r="E4038" s="5" t="str">
        <f>"9380082"</f>
        <v>9380082</v>
      </c>
      <c r="F4038" s="3" t="s">
        <v>12819</v>
      </c>
      <c r="G4038" s="5">
        <v>2382025125</v>
      </c>
      <c r="H4038" s="4" t="s">
        <v>12820</v>
      </c>
      <c r="I4038" s="4" t="s">
        <v>12821</v>
      </c>
      <c r="J4038" s="4" t="s">
        <v>12822</v>
      </c>
      <c r="K4038" s="4" t="s">
        <v>12823</v>
      </c>
      <c r="L4038" s="5">
        <v>58100</v>
      </c>
    </row>
    <row r="4039" spans="1:12" x14ac:dyDescent="0.25">
      <c r="A4039" s="3" t="s">
        <v>10786</v>
      </c>
      <c r="B4039" s="4" t="s">
        <v>12813</v>
      </c>
      <c r="C4039" s="4" t="s">
        <v>25</v>
      </c>
      <c r="D4039" s="4" t="s">
        <v>26</v>
      </c>
      <c r="E4039" s="5" t="str">
        <f>"9380111"</f>
        <v>9380111</v>
      </c>
      <c r="F4039" s="3" t="s">
        <v>12824</v>
      </c>
      <c r="G4039" s="5">
        <v>2382051847</v>
      </c>
      <c r="H4039" s="4" t="s">
        <v>12825</v>
      </c>
      <c r="I4039" s="4" t="s">
        <v>12821</v>
      </c>
      <c r="J4039" s="4" t="s">
        <v>12826</v>
      </c>
      <c r="K4039" s="4" t="s">
        <v>12827</v>
      </c>
      <c r="L4039" s="5">
        <v>58100</v>
      </c>
    </row>
    <row r="4040" spans="1:12" x14ac:dyDescent="0.25">
      <c r="A4040" s="3" t="s">
        <v>10786</v>
      </c>
      <c r="B4040" s="4" t="s">
        <v>12813</v>
      </c>
      <c r="C4040" s="4" t="s">
        <v>25</v>
      </c>
      <c r="D4040" s="4" t="s">
        <v>26</v>
      </c>
      <c r="E4040" s="5" t="str">
        <f>"9380297"</f>
        <v>9380297</v>
      </c>
      <c r="F4040" s="3" t="s">
        <v>12828</v>
      </c>
      <c r="G4040" s="5">
        <v>2382082681</v>
      </c>
      <c r="H4040" s="4" t="s">
        <v>12829</v>
      </c>
      <c r="I4040" s="4" t="s">
        <v>12821</v>
      </c>
      <c r="J4040" s="4" t="s">
        <v>12830</v>
      </c>
      <c r="K4040" s="4" t="s">
        <v>12831</v>
      </c>
      <c r="L4040" s="5">
        <v>58100</v>
      </c>
    </row>
    <row r="4041" spans="1:12" x14ac:dyDescent="0.25">
      <c r="A4041" s="3" t="s">
        <v>10786</v>
      </c>
      <c r="B4041" s="4" t="s">
        <v>12813</v>
      </c>
      <c r="C4041" s="4" t="s">
        <v>25</v>
      </c>
      <c r="D4041" s="4" t="s">
        <v>26</v>
      </c>
      <c r="E4041" s="5" t="str">
        <f>"9380293"</f>
        <v>9380293</v>
      </c>
      <c r="F4041" s="3" t="s">
        <v>12832</v>
      </c>
      <c r="G4041" s="5">
        <v>2382026197</v>
      </c>
      <c r="H4041" s="4" t="s">
        <v>12833</v>
      </c>
      <c r="I4041" s="4" t="s">
        <v>12821</v>
      </c>
      <c r="J4041" s="4" t="s">
        <v>12830</v>
      </c>
      <c r="K4041" s="4" t="s">
        <v>12834</v>
      </c>
      <c r="L4041" s="5">
        <v>58100</v>
      </c>
    </row>
    <row r="4042" spans="1:12" x14ac:dyDescent="0.25">
      <c r="A4042" s="3" t="s">
        <v>10786</v>
      </c>
      <c r="B4042" s="4" t="s">
        <v>12813</v>
      </c>
      <c r="C4042" s="4" t="s">
        <v>25</v>
      </c>
      <c r="D4042" s="4" t="s">
        <v>26</v>
      </c>
      <c r="E4042" s="5" t="str">
        <f>"9380283"</f>
        <v>9380283</v>
      </c>
      <c r="F4042" s="3" t="s">
        <v>12835</v>
      </c>
      <c r="G4042" s="5">
        <v>2382025124</v>
      </c>
      <c r="H4042" s="4" t="s">
        <v>12836</v>
      </c>
      <c r="I4042" s="4" t="s">
        <v>12821</v>
      </c>
      <c r="J4042" s="4" t="s">
        <v>12830</v>
      </c>
      <c r="K4042" s="4" t="s">
        <v>12837</v>
      </c>
      <c r="L4042" s="5">
        <v>58100</v>
      </c>
    </row>
    <row r="4043" spans="1:12" x14ac:dyDescent="0.25">
      <c r="A4043" s="3" t="s">
        <v>10786</v>
      </c>
      <c r="B4043" s="4" t="s">
        <v>12813</v>
      </c>
      <c r="C4043" s="4" t="s">
        <v>25</v>
      </c>
      <c r="D4043" s="4" t="s">
        <v>26</v>
      </c>
      <c r="E4043" s="5" t="str">
        <f>"9380074"</f>
        <v>9380074</v>
      </c>
      <c r="F4043" s="3" t="s">
        <v>12838</v>
      </c>
      <c r="G4043" s="5">
        <v>2382022171</v>
      </c>
      <c r="H4043" s="4" t="s">
        <v>12839</v>
      </c>
      <c r="I4043" s="4" t="s">
        <v>12821</v>
      </c>
      <c r="J4043" s="4" t="s">
        <v>12830</v>
      </c>
      <c r="K4043" s="4" t="s">
        <v>12840</v>
      </c>
      <c r="L4043" s="5">
        <v>58100</v>
      </c>
    </row>
    <row r="4044" spans="1:12" x14ac:dyDescent="0.25">
      <c r="A4044" s="3" t="s">
        <v>10786</v>
      </c>
      <c r="B4044" s="4" t="s">
        <v>12813</v>
      </c>
      <c r="C4044" s="4" t="s">
        <v>25</v>
      </c>
      <c r="D4044" s="4" t="s">
        <v>26</v>
      </c>
      <c r="E4044" s="5" t="str">
        <f>"9380075"</f>
        <v>9380075</v>
      </c>
      <c r="F4044" s="3" t="s">
        <v>12841</v>
      </c>
      <c r="G4044" s="5">
        <v>2382081366</v>
      </c>
      <c r="H4044" s="4" t="s">
        <v>12842</v>
      </c>
      <c r="I4044" s="4" t="s">
        <v>12821</v>
      </c>
      <c r="J4044" s="4" t="s">
        <v>12830</v>
      </c>
      <c r="K4044" s="4" t="s">
        <v>12843</v>
      </c>
      <c r="L4044" s="5">
        <v>58100</v>
      </c>
    </row>
    <row r="4045" spans="1:12" x14ac:dyDescent="0.25">
      <c r="A4045" s="3" t="s">
        <v>10786</v>
      </c>
      <c r="B4045" s="4" t="s">
        <v>12813</v>
      </c>
      <c r="C4045" s="4" t="s">
        <v>14</v>
      </c>
      <c r="D4045" s="4" t="s">
        <v>15</v>
      </c>
      <c r="E4045" s="5" t="str">
        <f>"9380148"</f>
        <v>9380148</v>
      </c>
      <c r="F4045" s="3" t="s">
        <v>12844</v>
      </c>
      <c r="G4045" s="5">
        <v>2381023560</v>
      </c>
      <c r="H4045" s="4" t="s">
        <v>12845</v>
      </c>
      <c r="I4045" s="4" t="s">
        <v>12846</v>
      </c>
      <c r="J4045" s="4" t="s">
        <v>12847</v>
      </c>
      <c r="K4045" s="4" t="s">
        <v>12848</v>
      </c>
      <c r="L4045" s="5">
        <v>58200</v>
      </c>
    </row>
    <row r="4046" spans="1:12" x14ac:dyDescent="0.25">
      <c r="A4046" s="3" t="s">
        <v>10786</v>
      </c>
      <c r="B4046" s="4" t="s">
        <v>12813</v>
      </c>
      <c r="C4046" s="4" t="s">
        <v>25</v>
      </c>
      <c r="D4046" s="4" t="s">
        <v>26</v>
      </c>
      <c r="E4046" s="5" t="str">
        <f>"9380079"</f>
        <v>9380079</v>
      </c>
      <c r="F4046" s="3" t="s">
        <v>12849</v>
      </c>
      <c r="G4046" s="5">
        <v>2382026925</v>
      </c>
      <c r="H4046" s="4" t="s">
        <v>12850</v>
      </c>
      <c r="I4046" s="4" t="s">
        <v>12821</v>
      </c>
      <c r="J4046" s="4" t="s">
        <v>12822</v>
      </c>
      <c r="K4046" s="4" t="s">
        <v>12851</v>
      </c>
      <c r="L4046" s="5">
        <v>58100</v>
      </c>
    </row>
    <row r="4047" spans="1:12" x14ac:dyDescent="0.25">
      <c r="A4047" s="3" t="s">
        <v>10786</v>
      </c>
      <c r="B4047" s="4" t="s">
        <v>12813</v>
      </c>
      <c r="C4047" s="4" t="s">
        <v>25</v>
      </c>
      <c r="D4047" s="4" t="s">
        <v>26</v>
      </c>
      <c r="E4047" s="5" t="str">
        <f>"9380303"</f>
        <v>9380303</v>
      </c>
      <c r="F4047" s="3" t="s">
        <v>12852</v>
      </c>
      <c r="G4047" s="5">
        <v>2381023451</v>
      </c>
      <c r="H4047" s="4" t="s">
        <v>12853</v>
      </c>
      <c r="I4047" s="4" t="s">
        <v>12846</v>
      </c>
      <c r="J4047" s="4" t="s">
        <v>12846</v>
      </c>
      <c r="K4047" s="4" t="s">
        <v>12854</v>
      </c>
      <c r="L4047" s="5">
        <v>58200</v>
      </c>
    </row>
    <row r="4048" spans="1:12" x14ac:dyDescent="0.25">
      <c r="A4048" s="3" t="s">
        <v>10786</v>
      </c>
      <c r="B4048" s="4" t="s">
        <v>12813</v>
      </c>
      <c r="C4048" s="4" t="s">
        <v>25</v>
      </c>
      <c r="D4048" s="4" t="s">
        <v>26</v>
      </c>
      <c r="E4048" s="5" t="str">
        <f>"9380228"</f>
        <v>9380228</v>
      </c>
      <c r="F4048" s="3" t="s">
        <v>12855</v>
      </c>
      <c r="G4048" s="5">
        <v>2381027798</v>
      </c>
      <c r="H4048" s="4" t="s">
        <v>12856</v>
      </c>
      <c r="I4048" s="4" t="s">
        <v>12846</v>
      </c>
      <c r="J4048" s="4" t="s">
        <v>12846</v>
      </c>
      <c r="K4048" s="4" t="s">
        <v>12857</v>
      </c>
      <c r="L4048" s="5">
        <v>58200</v>
      </c>
    </row>
    <row r="4049" spans="1:12" x14ac:dyDescent="0.25">
      <c r="A4049" s="3" t="s">
        <v>10786</v>
      </c>
      <c r="B4049" s="4" t="s">
        <v>12813</v>
      </c>
      <c r="C4049" s="4" t="s">
        <v>14</v>
      </c>
      <c r="D4049" s="4" t="s">
        <v>15</v>
      </c>
      <c r="E4049" s="5" t="str">
        <f>"9380096"</f>
        <v>9380096</v>
      </c>
      <c r="F4049" s="3" t="s">
        <v>12858</v>
      </c>
      <c r="G4049" s="5">
        <v>2391091210</v>
      </c>
      <c r="H4049" s="4" t="s">
        <v>12859</v>
      </c>
      <c r="I4049" s="4" t="s">
        <v>12821</v>
      </c>
      <c r="J4049" s="4" t="s">
        <v>12860</v>
      </c>
      <c r="K4049" s="4" t="s">
        <v>12861</v>
      </c>
      <c r="L4049" s="5">
        <v>58005</v>
      </c>
    </row>
    <row r="4050" spans="1:12" x14ac:dyDescent="0.25">
      <c r="A4050" s="3" t="s">
        <v>10786</v>
      </c>
      <c r="B4050" s="4" t="s">
        <v>12813</v>
      </c>
      <c r="C4050" s="4" t="s">
        <v>14</v>
      </c>
      <c r="D4050" s="4" t="s">
        <v>15</v>
      </c>
      <c r="E4050" s="5" t="str">
        <f>"9380313"</f>
        <v>9380313</v>
      </c>
      <c r="F4050" s="3" t="s">
        <v>12862</v>
      </c>
      <c r="G4050" s="5">
        <v>2384023355</v>
      </c>
      <c r="H4050" s="4" t="s">
        <v>12863</v>
      </c>
      <c r="I4050" s="4" t="s">
        <v>12816</v>
      </c>
      <c r="J4050" s="4" t="s">
        <v>12864</v>
      </c>
      <c r="K4050" s="4" t="s">
        <v>12865</v>
      </c>
      <c r="L4050" s="5">
        <v>58400</v>
      </c>
    </row>
    <row r="4051" spans="1:12" x14ac:dyDescent="0.25">
      <c r="A4051" s="3" t="s">
        <v>10786</v>
      </c>
      <c r="B4051" s="4" t="s">
        <v>12813</v>
      </c>
      <c r="C4051" s="4" t="s">
        <v>14</v>
      </c>
      <c r="D4051" s="4" t="s">
        <v>15</v>
      </c>
      <c r="E4051" s="5" t="str">
        <f>"9380016"</f>
        <v>9380016</v>
      </c>
      <c r="F4051" s="3" t="s">
        <v>12866</v>
      </c>
      <c r="G4051" s="5">
        <v>2384075462</v>
      </c>
      <c r="H4051" s="4" t="s">
        <v>12867</v>
      </c>
      <c r="I4051" s="4" t="s">
        <v>12816</v>
      </c>
      <c r="J4051" s="4" t="s">
        <v>12868</v>
      </c>
      <c r="K4051" s="4" t="s">
        <v>12869</v>
      </c>
      <c r="L4051" s="5">
        <v>58400</v>
      </c>
    </row>
    <row r="4052" spans="1:12" x14ac:dyDescent="0.25">
      <c r="A4052" s="3" t="s">
        <v>10786</v>
      </c>
      <c r="B4052" s="4" t="s">
        <v>12813</v>
      </c>
      <c r="C4052" s="4" t="s">
        <v>14</v>
      </c>
      <c r="D4052" s="4" t="s">
        <v>15</v>
      </c>
      <c r="E4052" s="5" t="str">
        <f>"9380102"</f>
        <v>9380102</v>
      </c>
      <c r="F4052" s="3" t="s">
        <v>12870</v>
      </c>
      <c r="G4052" s="5">
        <v>2382099213</v>
      </c>
      <c r="H4052" s="4" t="s">
        <v>12871</v>
      </c>
      <c r="I4052" s="4" t="s">
        <v>12821</v>
      </c>
      <c r="J4052" s="4" t="s">
        <v>12872</v>
      </c>
      <c r="K4052" s="4" t="s">
        <v>12872</v>
      </c>
      <c r="L4052" s="5">
        <v>58100</v>
      </c>
    </row>
    <row r="4053" spans="1:12" ht="30" x14ac:dyDescent="0.25">
      <c r="A4053" s="3" t="s">
        <v>10786</v>
      </c>
      <c r="B4053" s="4" t="s">
        <v>12813</v>
      </c>
      <c r="C4053" s="4" t="s">
        <v>14</v>
      </c>
      <c r="D4053" s="4" t="s">
        <v>15</v>
      </c>
      <c r="E4053" s="5" t="str">
        <f>"9380263"</f>
        <v>9380263</v>
      </c>
      <c r="F4053" s="3" t="s">
        <v>12873</v>
      </c>
      <c r="G4053" s="5">
        <v>2382028124</v>
      </c>
      <c r="H4053" s="4" t="s">
        <v>12874</v>
      </c>
      <c r="I4053" s="4" t="s">
        <v>12821</v>
      </c>
      <c r="J4053" s="4" t="s">
        <v>12822</v>
      </c>
      <c r="K4053" s="4" t="s">
        <v>12875</v>
      </c>
      <c r="L4053" s="5">
        <v>58100</v>
      </c>
    </row>
    <row r="4054" spans="1:12" x14ac:dyDescent="0.25">
      <c r="A4054" s="3" t="s">
        <v>10786</v>
      </c>
      <c r="B4054" s="4" t="s">
        <v>12813</v>
      </c>
      <c r="C4054" s="4" t="s">
        <v>14</v>
      </c>
      <c r="D4054" s="4" t="s">
        <v>15</v>
      </c>
      <c r="E4054" s="5" t="str">
        <f>"9380083"</f>
        <v>9380083</v>
      </c>
      <c r="F4054" s="3" t="s">
        <v>12876</v>
      </c>
      <c r="G4054" s="5">
        <v>2382026261</v>
      </c>
      <c r="H4054" s="4" t="s">
        <v>12877</v>
      </c>
      <c r="I4054" s="4" t="s">
        <v>12821</v>
      </c>
      <c r="J4054" s="4" t="s">
        <v>12822</v>
      </c>
      <c r="K4054" s="4" t="s">
        <v>12878</v>
      </c>
      <c r="L4054" s="5">
        <v>58100</v>
      </c>
    </row>
    <row r="4055" spans="1:12" x14ac:dyDescent="0.25">
      <c r="A4055" s="3" t="s">
        <v>10786</v>
      </c>
      <c r="B4055" s="4" t="s">
        <v>12813</v>
      </c>
      <c r="C4055" s="4" t="s">
        <v>14</v>
      </c>
      <c r="D4055" s="4" t="s">
        <v>15</v>
      </c>
      <c r="E4055" s="5" t="str">
        <f>"9380080"</f>
        <v>9380080</v>
      </c>
      <c r="F4055" s="3" t="s">
        <v>12879</v>
      </c>
      <c r="G4055" s="5">
        <v>2382022783</v>
      </c>
      <c r="H4055" s="4" t="s">
        <v>12880</v>
      </c>
      <c r="I4055" s="4" t="s">
        <v>12821</v>
      </c>
      <c r="J4055" s="4" t="s">
        <v>12822</v>
      </c>
      <c r="K4055" s="4" t="s">
        <v>12881</v>
      </c>
      <c r="L4055" s="5">
        <v>58100</v>
      </c>
    </row>
    <row r="4056" spans="1:12" x14ac:dyDescent="0.25">
      <c r="A4056" s="3" t="s">
        <v>10786</v>
      </c>
      <c r="B4056" s="4" t="s">
        <v>12813</v>
      </c>
      <c r="C4056" s="4" t="s">
        <v>14</v>
      </c>
      <c r="D4056" s="4" t="s">
        <v>15</v>
      </c>
      <c r="E4056" s="5" t="str">
        <f>"9380144"</f>
        <v>9380144</v>
      </c>
      <c r="F4056" s="3" t="s">
        <v>12882</v>
      </c>
      <c r="G4056" s="5">
        <v>2382061619</v>
      </c>
      <c r="H4056" s="4" t="s">
        <v>12883</v>
      </c>
      <c r="I4056" s="4" t="s">
        <v>12821</v>
      </c>
      <c r="J4056" s="4" t="s">
        <v>12884</v>
      </c>
      <c r="K4056" s="4" t="s">
        <v>12885</v>
      </c>
      <c r="L4056" s="5">
        <v>58300</v>
      </c>
    </row>
    <row r="4057" spans="1:12" x14ac:dyDescent="0.25">
      <c r="A4057" s="3" t="s">
        <v>10786</v>
      </c>
      <c r="B4057" s="4" t="s">
        <v>12813</v>
      </c>
      <c r="C4057" s="4" t="s">
        <v>14</v>
      </c>
      <c r="D4057" s="4" t="s">
        <v>15</v>
      </c>
      <c r="E4057" s="5" t="str">
        <f>"9380151"</f>
        <v>9380151</v>
      </c>
      <c r="F4057" s="3" t="s">
        <v>12886</v>
      </c>
      <c r="G4057" s="5">
        <v>2381023393</v>
      </c>
      <c r="H4057" s="4" t="s">
        <v>12887</v>
      </c>
      <c r="I4057" s="4" t="s">
        <v>12846</v>
      </c>
      <c r="J4057" s="4" t="s">
        <v>12847</v>
      </c>
      <c r="K4057" s="4" t="s">
        <v>12888</v>
      </c>
      <c r="L4057" s="5">
        <v>58200</v>
      </c>
    </row>
    <row r="4058" spans="1:12" x14ac:dyDescent="0.25">
      <c r="A4058" s="3" t="s">
        <v>10786</v>
      </c>
      <c r="B4058" s="4" t="s">
        <v>12813</v>
      </c>
      <c r="C4058" s="4" t="s">
        <v>14</v>
      </c>
      <c r="D4058" s="4" t="s">
        <v>15</v>
      </c>
      <c r="E4058" s="5" t="str">
        <f>"9380053"</f>
        <v>9380053</v>
      </c>
      <c r="F4058" s="3" t="s">
        <v>12889</v>
      </c>
      <c r="G4058" s="5">
        <v>2384075273</v>
      </c>
      <c r="H4058" s="4" t="s">
        <v>12890</v>
      </c>
      <c r="I4058" s="4" t="s">
        <v>12816</v>
      </c>
      <c r="J4058" s="4" t="s">
        <v>12891</v>
      </c>
      <c r="K4058" s="4" t="s">
        <v>12892</v>
      </c>
      <c r="L4058" s="5">
        <v>58400</v>
      </c>
    </row>
    <row r="4059" spans="1:12" x14ac:dyDescent="0.25">
      <c r="A4059" s="3" t="s">
        <v>10786</v>
      </c>
      <c r="B4059" s="4" t="s">
        <v>12813</v>
      </c>
      <c r="C4059" s="4" t="s">
        <v>14</v>
      </c>
      <c r="D4059" s="4" t="s">
        <v>15</v>
      </c>
      <c r="E4059" s="5" t="str">
        <f>"9380183"</f>
        <v>9380183</v>
      </c>
      <c r="F4059" s="3" t="s">
        <v>12893</v>
      </c>
      <c r="G4059" s="5">
        <v>2381089383</v>
      </c>
      <c r="H4059" s="4" t="s">
        <v>12894</v>
      </c>
      <c r="I4059" s="4" t="s">
        <v>12895</v>
      </c>
      <c r="J4059" s="4" t="s">
        <v>12896</v>
      </c>
      <c r="K4059" s="4" t="s">
        <v>12897</v>
      </c>
      <c r="L4059" s="5">
        <v>58500</v>
      </c>
    </row>
    <row r="4060" spans="1:12" x14ac:dyDescent="0.25">
      <c r="A4060" s="3" t="s">
        <v>10786</v>
      </c>
      <c r="B4060" s="4" t="s">
        <v>12813</v>
      </c>
      <c r="C4060" s="4" t="s">
        <v>25</v>
      </c>
      <c r="D4060" s="4" t="s">
        <v>26</v>
      </c>
      <c r="E4060" s="5" t="str">
        <f>"9380147"</f>
        <v>9380147</v>
      </c>
      <c r="F4060" s="3" t="s">
        <v>12898</v>
      </c>
      <c r="G4060" s="5">
        <v>2381025593</v>
      </c>
      <c r="H4060" s="4" t="s">
        <v>12899</v>
      </c>
      <c r="I4060" s="4" t="s">
        <v>12846</v>
      </c>
      <c r="J4060" s="4" t="s">
        <v>12846</v>
      </c>
      <c r="K4060" s="4" t="s">
        <v>12900</v>
      </c>
      <c r="L4060" s="5">
        <v>58200</v>
      </c>
    </row>
    <row r="4061" spans="1:12" x14ac:dyDescent="0.25">
      <c r="A4061" s="3" t="s">
        <v>10786</v>
      </c>
      <c r="B4061" s="4" t="s">
        <v>12813</v>
      </c>
      <c r="C4061" s="4" t="s">
        <v>25</v>
      </c>
      <c r="D4061" s="4" t="s">
        <v>26</v>
      </c>
      <c r="E4061" s="5" t="str">
        <f>"9380226"</f>
        <v>9380226</v>
      </c>
      <c r="F4061" s="3" t="s">
        <v>12901</v>
      </c>
      <c r="G4061" s="5">
        <v>2381028640</v>
      </c>
      <c r="H4061" s="4" t="s">
        <v>12902</v>
      </c>
      <c r="I4061" s="4" t="s">
        <v>12846</v>
      </c>
      <c r="J4061" s="4" t="s">
        <v>12846</v>
      </c>
      <c r="K4061" s="4" t="s">
        <v>12903</v>
      </c>
      <c r="L4061" s="5">
        <v>58200</v>
      </c>
    </row>
    <row r="4062" spans="1:12" x14ac:dyDescent="0.25">
      <c r="A4062" s="3" t="s">
        <v>10786</v>
      </c>
      <c r="B4062" s="4" t="s">
        <v>12813</v>
      </c>
      <c r="C4062" s="4" t="s">
        <v>25</v>
      </c>
      <c r="D4062" s="4" t="s">
        <v>26</v>
      </c>
      <c r="E4062" s="5" t="str">
        <f>"9380282"</f>
        <v>9380282</v>
      </c>
      <c r="F4062" s="3" t="s">
        <v>12904</v>
      </c>
      <c r="G4062" s="5">
        <v>2381024341</v>
      </c>
      <c r="H4062" s="4" t="s">
        <v>12905</v>
      </c>
      <c r="I4062" s="4" t="s">
        <v>12846</v>
      </c>
      <c r="J4062" s="4" t="s">
        <v>12846</v>
      </c>
      <c r="K4062" s="4" t="s">
        <v>12906</v>
      </c>
      <c r="L4062" s="5">
        <v>58200</v>
      </c>
    </row>
    <row r="4063" spans="1:12" x14ac:dyDescent="0.25">
      <c r="A4063" s="3" t="s">
        <v>10786</v>
      </c>
      <c r="B4063" s="4" t="s">
        <v>12813</v>
      </c>
      <c r="C4063" s="4" t="s">
        <v>14</v>
      </c>
      <c r="D4063" s="4" t="s">
        <v>15</v>
      </c>
      <c r="E4063" s="5" t="str">
        <f>"9380077"</f>
        <v>9380077</v>
      </c>
      <c r="F4063" s="3" t="s">
        <v>12907</v>
      </c>
      <c r="G4063" s="5">
        <v>2382022341</v>
      </c>
      <c r="H4063" s="4" t="s">
        <v>12908</v>
      </c>
      <c r="I4063" s="4" t="s">
        <v>12821</v>
      </c>
      <c r="J4063" s="4" t="s">
        <v>12822</v>
      </c>
      <c r="K4063" s="4" t="s">
        <v>12837</v>
      </c>
      <c r="L4063" s="5">
        <v>58100</v>
      </c>
    </row>
    <row r="4064" spans="1:12" x14ac:dyDescent="0.25">
      <c r="A4064" s="3" t="s">
        <v>10786</v>
      </c>
      <c r="B4064" s="4" t="s">
        <v>12813</v>
      </c>
      <c r="C4064" s="4" t="s">
        <v>14</v>
      </c>
      <c r="D4064" s="4" t="s">
        <v>15</v>
      </c>
      <c r="E4064" s="5" t="str">
        <f>"9380073"</f>
        <v>9380073</v>
      </c>
      <c r="F4064" s="3" t="s">
        <v>12909</v>
      </c>
      <c r="G4064" s="5">
        <v>2382022789</v>
      </c>
      <c r="H4064" s="4" t="s">
        <v>12910</v>
      </c>
      <c r="I4064" s="4" t="s">
        <v>12821</v>
      </c>
      <c r="J4064" s="4" t="s">
        <v>12822</v>
      </c>
      <c r="K4064" s="4" t="s">
        <v>12911</v>
      </c>
      <c r="L4064" s="5">
        <v>58100</v>
      </c>
    </row>
    <row r="4065" spans="1:12" x14ac:dyDescent="0.25">
      <c r="A4065" s="3" t="s">
        <v>10786</v>
      </c>
      <c r="B4065" s="4" t="s">
        <v>12813</v>
      </c>
      <c r="C4065" s="4" t="s">
        <v>14</v>
      </c>
      <c r="D4065" s="4" t="s">
        <v>15</v>
      </c>
      <c r="E4065" s="5" t="str">
        <f>"9380093"</f>
        <v>9380093</v>
      </c>
      <c r="F4065" s="3" t="s">
        <v>12912</v>
      </c>
      <c r="G4065" s="5">
        <v>2382022020</v>
      </c>
      <c r="H4065" s="4" t="s">
        <v>12913</v>
      </c>
      <c r="I4065" s="4" t="s">
        <v>12821</v>
      </c>
      <c r="J4065" s="4" t="s">
        <v>12914</v>
      </c>
      <c r="K4065" s="4" t="s">
        <v>12915</v>
      </c>
      <c r="L4065" s="5">
        <v>58100</v>
      </c>
    </row>
    <row r="4066" spans="1:12" x14ac:dyDescent="0.25">
      <c r="A4066" s="3" t="s">
        <v>10786</v>
      </c>
      <c r="B4066" s="4" t="s">
        <v>12813</v>
      </c>
      <c r="C4066" s="4" t="s">
        <v>14</v>
      </c>
      <c r="D4066" s="4" t="s">
        <v>15</v>
      </c>
      <c r="E4066" s="5" t="str">
        <f>"9380131"</f>
        <v>9380131</v>
      </c>
      <c r="F4066" s="3" t="s">
        <v>12916</v>
      </c>
      <c r="G4066" s="5">
        <v>2382041337</v>
      </c>
      <c r="H4066" s="4" t="s">
        <v>12917</v>
      </c>
      <c r="I4066" s="4" t="s">
        <v>12821</v>
      </c>
      <c r="J4066" s="4"/>
      <c r="K4066" s="4" t="s">
        <v>12918</v>
      </c>
      <c r="L4066" s="5">
        <v>58300</v>
      </c>
    </row>
    <row r="4067" spans="1:12" x14ac:dyDescent="0.25">
      <c r="A4067" s="3" t="s">
        <v>10786</v>
      </c>
      <c r="B4067" s="4" t="s">
        <v>12813</v>
      </c>
      <c r="C4067" s="4" t="s">
        <v>14</v>
      </c>
      <c r="D4067" s="4" t="s">
        <v>15</v>
      </c>
      <c r="E4067" s="5" t="str">
        <f>"9380307"</f>
        <v>9380307</v>
      </c>
      <c r="F4067" s="3" t="s">
        <v>12919</v>
      </c>
      <c r="G4067" s="5">
        <v>2382021458</v>
      </c>
      <c r="H4067" s="4" t="s">
        <v>12920</v>
      </c>
      <c r="I4067" s="4" t="s">
        <v>12821</v>
      </c>
      <c r="J4067" s="4" t="s">
        <v>12921</v>
      </c>
      <c r="K4067" s="4" t="s">
        <v>12922</v>
      </c>
      <c r="L4067" s="5">
        <v>58100</v>
      </c>
    </row>
    <row r="4068" spans="1:12" x14ac:dyDescent="0.25">
      <c r="A4068" s="3" t="s">
        <v>10786</v>
      </c>
      <c r="B4068" s="4" t="s">
        <v>12813</v>
      </c>
      <c r="C4068" s="4" t="s">
        <v>25</v>
      </c>
      <c r="D4068" s="4" t="s">
        <v>26</v>
      </c>
      <c r="E4068" s="5" t="str">
        <f>"9520935"</f>
        <v>9520935</v>
      </c>
      <c r="F4068" s="3" t="s">
        <v>12923</v>
      </c>
      <c r="G4068" s="5">
        <v>2381088548</v>
      </c>
      <c r="H4068" s="4" t="s">
        <v>12924</v>
      </c>
      <c r="I4068" s="4" t="s">
        <v>12895</v>
      </c>
      <c r="J4068" s="4" t="s">
        <v>12895</v>
      </c>
      <c r="K4068" s="4" t="s">
        <v>12925</v>
      </c>
      <c r="L4068" s="5">
        <v>58500</v>
      </c>
    </row>
    <row r="4069" spans="1:12" x14ac:dyDescent="0.25">
      <c r="A4069" s="3" t="s">
        <v>10786</v>
      </c>
      <c r="B4069" s="4" t="s">
        <v>12813</v>
      </c>
      <c r="C4069" s="4" t="s">
        <v>14</v>
      </c>
      <c r="D4069" s="4" t="s">
        <v>15</v>
      </c>
      <c r="E4069" s="5" t="str">
        <f>"9380323"</f>
        <v>9380323</v>
      </c>
      <c r="F4069" s="3" t="s">
        <v>12926</v>
      </c>
      <c r="G4069" s="5">
        <v>2384024441</v>
      </c>
      <c r="H4069" s="4" t="s">
        <v>12927</v>
      </c>
      <c r="I4069" s="4" t="s">
        <v>12816</v>
      </c>
      <c r="J4069" s="4" t="s">
        <v>12928</v>
      </c>
      <c r="K4069" s="4" t="s">
        <v>12929</v>
      </c>
      <c r="L4069" s="5">
        <v>58400</v>
      </c>
    </row>
    <row r="4070" spans="1:12" x14ac:dyDescent="0.25">
      <c r="A4070" s="3" t="s">
        <v>10786</v>
      </c>
      <c r="B4070" s="4" t="s">
        <v>12813</v>
      </c>
      <c r="C4070" s="4" t="s">
        <v>25</v>
      </c>
      <c r="D4070" s="4" t="s">
        <v>26</v>
      </c>
      <c r="E4070" s="5" t="str">
        <f>"9380149"</f>
        <v>9380149</v>
      </c>
      <c r="F4070" s="3" t="s">
        <v>12930</v>
      </c>
      <c r="G4070" s="5">
        <v>2381022832</v>
      </c>
      <c r="H4070" s="4" t="s">
        <v>12931</v>
      </c>
      <c r="I4070" s="4" t="s">
        <v>12846</v>
      </c>
      <c r="J4070" s="4" t="s">
        <v>12846</v>
      </c>
      <c r="K4070" s="4" t="s">
        <v>12932</v>
      </c>
      <c r="L4070" s="5">
        <v>58200</v>
      </c>
    </row>
    <row r="4071" spans="1:12" x14ac:dyDescent="0.25">
      <c r="A4071" s="3" t="s">
        <v>10786</v>
      </c>
      <c r="B4071" s="4" t="s">
        <v>12813</v>
      </c>
      <c r="C4071" s="4" t="s">
        <v>14</v>
      </c>
      <c r="D4071" s="4" t="s">
        <v>15</v>
      </c>
      <c r="E4071" s="5" t="str">
        <f>"9380106"</f>
        <v>9380106</v>
      </c>
      <c r="F4071" s="3" t="s">
        <v>12933</v>
      </c>
      <c r="G4071" s="5">
        <v>2382041327</v>
      </c>
      <c r="H4071" s="4" t="s">
        <v>12934</v>
      </c>
      <c r="I4071" s="4" t="s">
        <v>12821</v>
      </c>
      <c r="J4071" s="4" t="s">
        <v>12935</v>
      </c>
      <c r="K4071" s="4" t="s">
        <v>12936</v>
      </c>
      <c r="L4071" s="5">
        <v>58001</v>
      </c>
    </row>
    <row r="4072" spans="1:12" x14ac:dyDescent="0.25">
      <c r="A4072" s="3" t="s">
        <v>10786</v>
      </c>
      <c r="B4072" s="4" t="s">
        <v>12813</v>
      </c>
      <c r="C4072" s="4" t="s">
        <v>14</v>
      </c>
      <c r="D4072" s="4" t="s">
        <v>15</v>
      </c>
      <c r="E4072" s="5" t="str">
        <f>"9380098"</f>
        <v>9380098</v>
      </c>
      <c r="F4072" s="3" t="s">
        <v>12937</v>
      </c>
      <c r="G4072" s="5">
        <v>2382094204</v>
      </c>
      <c r="H4072" s="4" t="s">
        <v>12938</v>
      </c>
      <c r="I4072" s="4" t="s">
        <v>12821</v>
      </c>
      <c r="J4072" s="4" t="s">
        <v>12939</v>
      </c>
      <c r="K4072" s="4" t="s">
        <v>12940</v>
      </c>
      <c r="L4072" s="5">
        <v>58100</v>
      </c>
    </row>
    <row r="4073" spans="1:12" x14ac:dyDescent="0.25">
      <c r="A4073" s="3" t="s">
        <v>10786</v>
      </c>
      <c r="B4073" s="4" t="s">
        <v>12813</v>
      </c>
      <c r="C4073" s="4" t="s">
        <v>14</v>
      </c>
      <c r="D4073" s="4" t="s">
        <v>15</v>
      </c>
      <c r="E4073" s="5" t="str">
        <f>"9380057"</f>
        <v>9380057</v>
      </c>
      <c r="F4073" s="3" t="s">
        <v>12941</v>
      </c>
      <c r="G4073" s="5">
        <v>2384025239</v>
      </c>
      <c r="H4073" s="4" t="s">
        <v>12942</v>
      </c>
      <c r="I4073" s="4" t="s">
        <v>12816</v>
      </c>
      <c r="J4073" s="4" t="s">
        <v>12943</v>
      </c>
      <c r="K4073" s="4" t="s">
        <v>12944</v>
      </c>
      <c r="L4073" s="5">
        <v>58400</v>
      </c>
    </row>
    <row r="4074" spans="1:12" x14ac:dyDescent="0.25">
      <c r="A4074" s="3" t="s">
        <v>10786</v>
      </c>
      <c r="B4074" s="4" t="s">
        <v>12813</v>
      </c>
      <c r="C4074" s="4" t="s">
        <v>14</v>
      </c>
      <c r="D4074" s="4" t="s">
        <v>15</v>
      </c>
      <c r="E4074" s="5" t="str">
        <f>"9380021"</f>
        <v>9380021</v>
      </c>
      <c r="F4074" s="3" t="s">
        <v>12945</v>
      </c>
      <c r="G4074" s="5">
        <v>2384041202</v>
      </c>
      <c r="H4074" s="4" t="s">
        <v>12946</v>
      </c>
      <c r="I4074" s="4" t="s">
        <v>12816</v>
      </c>
      <c r="J4074" s="4" t="s">
        <v>12947</v>
      </c>
      <c r="K4074" s="4" t="s">
        <v>12948</v>
      </c>
      <c r="L4074" s="5">
        <v>58400</v>
      </c>
    </row>
    <row r="4075" spans="1:12" x14ac:dyDescent="0.25">
      <c r="A4075" s="3" t="s">
        <v>10786</v>
      </c>
      <c r="B4075" s="4" t="s">
        <v>12813</v>
      </c>
      <c r="C4075" s="4" t="s">
        <v>14</v>
      </c>
      <c r="D4075" s="4" t="s">
        <v>15</v>
      </c>
      <c r="E4075" s="5" t="str">
        <f>"9380278"</f>
        <v>9380278</v>
      </c>
      <c r="F4075" s="3" t="s">
        <v>12949</v>
      </c>
      <c r="G4075" s="5">
        <v>2381082789</v>
      </c>
      <c r="H4075" s="4" t="s">
        <v>12950</v>
      </c>
      <c r="I4075" s="4" t="s">
        <v>12895</v>
      </c>
      <c r="J4075" s="4" t="s">
        <v>12896</v>
      </c>
      <c r="K4075" s="4" t="s">
        <v>12951</v>
      </c>
      <c r="L4075" s="5">
        <v>58500</v>
      </c>
    </row>
    <row r="4076" spans="1:12" x14ac:dyDescent="0.25">
      <c r="A4076" s="3" t="s">
        <v>10786</v>
      </c>
      <c r="B4076" s="4" t="s">
        <v>12813</v>
      </c>
      <c r="C4076" s="4" t="s">
        <v>14</v>
      </c>
      <c r="D4076" s="4" t="s">
        <v>15</v>
      </c>
      <c r="E4076" s="5" t="str">
        <f>"9380315"</f>
        <v>9380315</v>
      </c>
      <c r="F4076" s="3" t="s">
        <v>12952</v>
      </c>
      <c r="G4076" s="5">
        <v>2381020222</v>
      </c>
      <c r="H4076" s="4" t="s">
        <v>12953</v>
      </c>
      <c r="I4076" s="4" t="s">
        <v>12846</v>
      </c>
      <c r="J4076" s="4" t="s">
        <v>12847</v>
      </c>
      <c r="K4076" s="4" t="s">
        <v>12954</v>
      </c>
      <c r="L4076" s="5">
        <v>58200</v>
      </c>
    </row>
    <row r="4077" spans="1:12" x14ac:dyDescent="0.25">
      <c r="A4077" s="3" t="s">
        <v>10786</v>
      </c>
      <c r="B4077" s="4" t="s">
        <v>12813</v>
      </c>
      <c r="C4077" s="4" t="s">
        <v>14</v>
      </c>
      <c r="D4077" s="4" t="s">
        <v>179</v>
      </c>
      <c r="E4077" s="5" t="str">
        <f>"9380125"</f>
        <v>9380125</v>
      </c>
      <c r="F4077" s="3" t="s">
        <v>12955</v>
      </c>
      <c r="G4077" s="5">
        <v>2382061792</v>
      </c>
      <c r="H4077" s="4" t="s">
        <v>12956</v>
      </c>
      <c r="I4077" s="4" t="s">
        <v>12821</v>
      </c>
      <c r="J4077" s="4" t="s">
        <v>12957</v>
      </c>
      <c r="K4077" s="4" t="s">
        <v>12958</v>
      </c>
      <c r="L4077" s="5">
        <v>58300</v>
      </c>
    </row>
    <row r="4078" spans="1:12" x14ac:dyDescent="0.25">
      <c r="A4078" s="3" t="s">
        <v>10786</v>
      </c>
      <c r="B4078" s="4" t="s">
        <v>12813</v>
      </c>
      <c r="C4078" s="4" t="s">
        <v>25</v>
      </c>
      <c r="D4078" s="4" t="s">
        <v>26</v>
      </c>
      <c r="E4078" s="5" t="str">
        <f>"9380001"</f>
        <v>9380001</v>
      </c>
      <c r="F4078" s="3" t="s">
        <v>12959</v>
      </c>
      <c r="G4078" s="5">
        <v>2384023240</v>
      </c>
      <c r="H4078" s="4" t="s">
        <v>12960</v>
      </c>
      <c r="I4078" s="4" t="s">
        <v>12816</v>
      </c>
      <c r="J4078" s="4" t="s">
        <v>12928</v>
      </c>
      <c r="K4078" s="4" t="s">
        <v>12961</v>
      </c>
      <c r="L4078" s="5">
        <v>58400</v>
      </c>
    </row>
    <row r="4079" spans="1:12" x14ac:dyDescent="0.25">
      <c r="A4079" s="3" t="s">
        <v>10786</v>
      </c>
      <c r="B4079" s="4" t="s">
        <v>12813</v>
      </c>
      <c r="C4079" s="4" t="s">
        <v>14</v>
      </c>
      <c r="D4079" s="4" t="s">
        <v>15</v>
      </c>
      <c r="E4079" s="5" t="str">
        <f>"9380156"</f>
        <v>9380156</v>
      </c>
      <c r="F4079" s="3" t="s">
        <v>12962</v>
      </c>
      <c r="G4079" s="5">
        <v>2381071275</v>
      </c>
      <c r="H4079" s="4" t="s">
        <v>12963</v>
      </c>
      <c r="I4079" s="4" t="s">
        <v>12895</v>
      </c>
      <c r="J4079" s="4" t="s">
        <v>12964</v>
      </c>
      <c r="K4079" s="4" t="s">
        <v>12965</v>
      </c>
      <c r="L4079" s="5">
        <v>58500</v>
      </c>
    </row>
    <row r="4080" spans="1:12" x14ac:dyDescent="0.25">
      <c r="A4080" s="3" t="s">
        <v>10786</v>
      </c>
      <c r="B4080" s="4" t="s">
        <v>12813</v>
      </c>
      <c r="C4080" s="4" t="s">
        <v>14</v>
      </c>
      <c r="D4080" s="4" t="s">
        <v>15</v>
      </c>
      <c r="E4080" s="5" t="str">
        <f>"9380227"</f>
        <v>9380227</v>
      </c>
      <c r="F4080" s="3" t="s">
        <v>12966</v>
      </c>
      <c r="G4080" s="5">
        <v>2381023495</v>
      </c>
      <c r="H4080" s="4" t="s">
        <v>12967</v>
      </c>
      <c r="I4080" s="4" t="s">
        <v>12846</v>
      </c>
      <c r="J4080" s="4" t="s">
        <v>12847</v>
      </c>
      <c r="K4080" s="4" t="s">
        <v>12968</v>
      </c>
      <c r="L4080" s="5">
        <v>58200</v>
      </c>
    </row>
    <row r="4081" spans="1:12" x14ac:dyDescent="0.25">
      <c r="A4081" s="3" t="s">
        <v>10786</v>
      </c>
      <c r="B4081" s="4" t="s">
        <v>12813</v>
      </c>
      <c r="C4081" s="4" t="s">
        <v>14</v>
      </c>
      <c r="D4081" s="4" t="s">
        <v>15</v>
      </c>
      <c r="E4081" s="5" t="str">
        <f>"9380112"</f>
        <v>9380112</v>
      </c>
      <c r="F4081" s="3" t="s">
        <v>12969</v>
      </c>
      <c r="G4081" s="5">
        <v>2382051222</v>
      </c>
      <c r="H4081" s="4" t="s">
        <v>12970</v>
      </c>
      <c r="I4081" s="4" t="s">
        <v>12821</v>
      </c>
      <c r="J4081" s="4" t="s">
        <v>12971</v>
      </c>
      <c r="K4081" s="4" t="s">
        <v>12972</v>
      </c>
      <c r="L4081" s="5">
        <v>58100</v>
      </c>
    </row>
    <row r="4082" spans="1:12" x14ac:dyDescent="0.25">
      <c r="A4082" s="3" t="s">
        <v>10786</v>
      </c>
      <c r="B4082" s="4" t="s">
        <v>12813</v>
      </c>
      <c r="C4082" s="4" t="s">
        <v>14</v>
      </c>
      <c r="D4082" s="4" t="s">
        <v>15</v>
      </c>
      <c r="E4082" s="5" t="str">
        <f>"9380076"</f>
        <v>9380076</v>
      </c>
      <c r="F4082" s="3" t="s">
        <v>12973</v>
      </c>
      <c r="G4082" s="5">
        <v>2382022339</v>
      </c>
      <c r="H4082" s="4" t="s">
        <v>12974</v>
      </c>
      <c r="I4082" s="4" t="s">
        <v>12821</v>
      </c>
      <c r="J4082" s="4" t="s">
        <v>12822</v>
      </c>
      <c r="K4082" s="4" t="s">
        <v>12975</v>
      </c>
      <c r="L4082" s="5">
        <v>58100</v>
      </c>
    </row>
    <row r="4083" spans="1:12" x14ac:dyDescent="0.25">
      <c r="A4083" s="3" t="s">
        <v>10786</v>
      </c>
      <c r="B4083" s="4" t="s">
        <v>12813</v>
      </c>
      <c r="C4083" s="4" t="s">
        <v>14</v>
      </c>
      <c r="D4083" s="4" t="s">
        <v>15</v>
      </c>
      <c r="E4083" s="5" t="str">
        <f>"9380123"</f>
        <v>9380123</v>
      </c>
      <c r="F4083" s="3" t="s">
        <v>12976</v>
      </c>
      <c r="G4083" s="5">
        <v>2382061103</v>
      </c>
      <c r="H4083" s="4" t="s">
        <v>12977</v>
      </c>
      <c r="I4083" s="4" t="s">
        <v>12821</v>
      </c>
      <c r="J4083" s="4" t="s">
        <v>12978</v>
      </c>
      <c r="K4083" s="4" t="s">
        <v>12978</v>
      </c>
      <c r="L4083" s="5">
        <v>58300</v>
      </c>
    </row>
    <row r="4084" spans="1:12" x14ac:dyDescent="0.25">
      <c r="A4084" s="3" t="s">
        <v>10786</v>
      </c>
      <c r="B4084" s="4" t="s">
        <v>12813</v>
      </c>
      <c r="C4084" s="4" t="s">
        <v>25</v>
      </c>
      <c r="D4084" s="4" t="s">
        <v>26</v>
      </c>
      <c r="E4084" s="5" t="str">
        <f>"9380185"</f>
        <v>9380185</v>
      </c>
      <c r="F4084" s="3" t="s">
        <v>12979</v>
      </c>
      <c r="G4084" s="5">
        <v>2381082608</v>
      </c>
      <c r="H4084" s="4" t="s">
        <v>12980</v>
      </c>
      <c r="I4084" s="4" t="s">
        <v>12895</v>
      </c>
      <c r="J4084" s="4" t="s">
        <v>12895</v>
      </c>
      <c r="K4084" s="4" t="s">
        <v>12981</v>
      </c>
      <c r="L4084" s="5">
        <v>58500</v>
      </c>
    </row>
    <row r="4085" spans="1:12" x14ac:dyDescent="0.25">
      <c r="A4085" s="3" t="s">
        <v>10786</v>
      </c>
      <c r="B4085" s="4" t="s">
        <v>12813</v>
      </c>
      <c r="C4085" s="4" t="s">
        <v>25</v>
      </c>
      <c r="D4085" s="4" t="s">
        <v>26</v>
      </c>
      <c r="E4085" s="5" t="str">
        <f>"9380184"</f>
        <v>9380184</v>
      </c>
      <c r="F4085" s="3" t="s">
        <v>12982</v>
      </c>
      <c r="G4085" s="5">
        <v>2381081903</v>
      </c>
      <c r="H4085" s="4" t="s">
        <v>12983</v>
      </c>
      <c r="I4085" s="4" t="s">
        <v>12895</v>
      </c>
      <c r="J4085" s="4" t="s">
        <v>12895</v>
      </c>
      <c r="K4085" s="4" t="s">
        <v>12984</v>
      </c>
      <c r="L4085" s="5">
        <v>58500</v>
      </c>
    </row>
    <row r="4086" spans="1:12" x14ac:dyDescent="0.25">
      <c r="A4086" s="3" t="s">
        <v>10786</v>
      </c>
      <c r="B4086" s="4" t="s">
        <v>12813</v>
      </c>
      <c r="C4086" s="4" t="s">
        <v>14</v>
      </c>
      <c r="D4086" s="4" t="s">
        <v>15</v>
      </c>
      <c r="E4086" s="5" t="str">
        <f>"9380081"</f>
        <v>9380081</v>
      </c>
      <c r="F4086" s="3" t="s">
        <v>12985</v>
      </c>
      <c r="G4086" s="5">
        <v>2382022488</v>
      </c>
      <c r="H4086" s="4" t="s">
        <v>12986</v>
      </c>
      <c r="I4086" s="4" t="s">
        <v>12821</v>
      </c>
      <c r="J4086" s="4" t="s">
        <v>12822</v>
      </c>
      <c r="K4086" s="4" t="s">
        <v>12987</v>
      </c>
      <c r="L4086" s="5">
        <v>58100</v>
      </c>
    </row>
    <row r="4087" spans="1:12" x14ac:dyDescent="0.25">
      <c r="A4087" s="3" t="s">
        <v>10786</v>
      </c>
      <c r="B4087" s="4" t="s">
        <v>12813</v>
      </c>
      <c r="C4087" s="4" t="s">
        <v>14</v>
      </c>
      <c r="D4087" s="4" t="s">
        <v>15</v>
      </c>
      <c r="E4087" s="5" t="str">
        <f>"9380085"</f>
        <v>9380085</v>
      </c>
      <c r="F4087" s="3" t="s">
        <v>12988</v>
      </c>
      <c r="G4087" s="5">
        <v>2382022835</v>
      </c>
      <c r="H4087" s="4" t="s">
        <v>12989</v>
      </c>
      <c r="I4087" s="4" t="s">
        <v>12821</v>
      </c>
      <c r="J4087" s="4" t="s">
        <v>12822</v>
      </c>
      <c r="K4087" s="4" t="s">
        <v>12990</v>
      </c>
      <c r="L4087" s="5">
        <v>58100</v>
      </c>
    </row>
    <row r="4088" spans="1:12" x14ac:dyDescent="0.25">
      <c r="A4088" s="3" t="s">
        <v>10786</v>
      </c>
      <c r="B4088" s="4" t="s">
        <v>12813</v>
      </c>
      <c r="C4088" s="4" t="s">
        <v>14</v>
      </c>
      <c r="D4088" s="4" t="s">
        <v>15</v>
      </c>
      <c r="E4088" s="5" t="str">
        <f>"9380115"</f>
        <v>9380115</v>
      </c>
      <c r="F4088" s="3" t="s">
        <v>12991</v>
      </c>
      <c r="G4088" s="5">
        <v>2382031254</v>
      </c>
      <c r="H4088" s="4" t="s">
        <v>12992</v>
      </c>
      <c r="I4088" s="4" t="s">
        <v>12821</v>
      </c>
      <c r="J4088" s="4" t="s">
        <v>12993</v>
      </c>
      <c r="K4088" s="4" t="s">
        <v>12993</v>
      </c>
      <c r="L4088" s="5">
        <v>58005</v>
      </c>
    </row>
    <row r="4089" spans="1:12" x14ac:dyDescent="0.25">
      <c r="A4089" s="3" t="s">
        <v>10786</v>
      </c>
      <c r="B4089" s="4" t="s">
        <v>12813</v>
      </c>
      <c r="C4089" s="4" t="s">
        <v>14</v>
      </c>
      <c r="D4089" s="4" t="s">
        <v>15</v>
      </c>
      <c r="E4089" s="5" t="str">
        <f>"9380143"</f>
        <v>9380143</v>
      </c>
      <c r="F4089" s="3" t="s">
        <v>12994</v>
      </c>
      <c r="G4089" s="5">
        <v>2382061615</v>
      </c>
      <c r="H4089" s="4" t="s">
        <v>12995</v>
      </c>
      <c r="I4089" s="4" t="s">
        <v>12821</v>
      </c>
      <c r="J4089" s="4" t="s">
        <v>12884</v>
      </c>
      <c r="K4089" s="4" t="s">
        <v>12996</v>
      </c>
      <c r="L4089" s="5">
        <v>58300</v>
      </c>
    </row>
    <row r="4090" spans="1:12" x14ac:dyDescent="0.25">
      <c r="A4090" s="3" t="s">
        <v>10786</v>
      </c>
      <c r="B4090" s="4" t="s">
        <v>12813</v>
      </c>
      <c r="C4090" s="4" t="s">
        <v>14</v>
      </c>
      <c r="D4090" s="4" t="s">
        <v>15</v>
      </c>
      <c r="E4090" s="5" t="str">
        <f>"9380222"</f>
        <v>9380222</v>
      </c>
      <c r="F4090" s="3" t="s">
        <v>12997</v>
      </c>
      <c r="G4090" s="5">
        <v>2382041395</v>
      </c>
      <c r="H4090" s="4" t="s">
        <v>12998</v>
      </c>
      <c r="I4090" s="4" t="s">
        <v>12821</v>
      </c>
      <c r="J4090" s="4" t="s">
        <v>12999</v>
      </c>
      <c r="K4090" s="4" t="s">
        <v>12999</v>
      </c>
      <c r="L4090" s="5">
        <v>58100</v>
      </c>
    </row>
    <row r="4091" spans="1:12" x14ac:dyDescent="0.25">
      <c r="A4091" s="3" t="s">
        <v>10786</v>
      </c>
      <c r="B4091" s="4" t="s">
        <v>12813</v>
      </c>
      <c r="C4091" s="4" t="s">
        <v>14</v>
      </c>
      <c r="D4091" s="4" t="s">
        <v>15</v>
      </c>
      <c r="E4091" s="5" t="str">
        <f>"9380118"</f>
        <v>9380118</v>
      </c>
      <c r="F4091" s="3" t="s">
        <v>13000</v>
      </c>
      <c r="G4091" s="5">
        <v>2382031388</v>
      </c>
      <c r="H4091" s="4" t="s">
        <v>13001</v>
      </c>
      <c r="I4091" s="4" t="s">
        <v>12821</v>
      </c>
      <c r="J4091" s="4" t="s">
        <v>13002</v>
      </c>
      <c r="K4091" s="4" t="s">
        <v>13003</v>
      </c>
      <c r="L4091" s="5">
        <v>58005</v>
      </c>
    </row>
    <row r="4092" spans="1:12" x14ac:dyDescent="0.25">
      <c r="A4092" s="3" t="s">
        <v>10786</v>
      </c>
      <c r="B4092" s="4" t="s">
        <v>12813</v>
      </c>
      <c r="C4092" s="4" t="s">
        <v>14</v>
      </c>
      <c r="D4092" s="4" t="s">
        <v>15</v>
      </c>
      <c r="E4092" s="5" t="str">
        <f>"9380046"</f>
        <v>9380046</v>
      </c>
      <c r="F4092" s="3" t="s">
        <v>13004</v>
      </c>
      <c r="G4092" s="5">
        <v>2384092295</v>
      </c>
      <c r="H4092" s="4" t="s">
        <v>13005</v>
      </c>
      <c r="I4092" s="4" t="s">
        <v>12816</v>
      </c>
      <c r="J4092" s="4" t="s">
        <v>13006</v>
      </c>
      <c r="K4092" s="4" t="s">
        <v>13007</v>
      </c>
      <c r="L4092" s="5">
        <v>58400</v>
      </c>
    </row>
    <row r="4093" spans="1:12" x14ac:dyDescent="0.25">
      <c r="A4093" s="3" t="s">
        <v>10786</v>
      </c>
      <c r="B4093" s="4" t="s">
        <v>12813</v>
      </c>
      <c r="C4093" s="4" t="s">
        <v>14</v>
      </c>
      <c r="D4093" s="4" t="s">
        <v>15</v>
      </c>
      <c r="E4093" s="5" t="str">
        <f>"9380032"</f>
        <v>9380032</v>
      </c>
      <c r="F4093" s="3" t="s">
        <v>13008</v>
      </c>
      <c r="G4093" s="5">
        <v>2384091233</v>
      </c>
      <c r="H4093" s="4" t="s">
        <v>13009</v>
      </c>
      <c r="I4093" s="4" t="s">
        <v>12816</v>
      </c>
      <c r="J4093" s="4" t="s">
        <v>13010</v>
      </c>
      <c r="K4093" s="4" t="s">
        <v>13011</v>
      </c>
      <c r="L4093" s="5">
        <v>58400</v>
      </c>
    </row>
    <row r="4094" spans="1:12" x14ac:dyDescent="0.25">
      <c r="A4094" s="3" t="s">
        <v>10786</v>
      </c>
      <c r="B4094" s="4" t="s">
        <v>12813</v>
      </c>
      <c r="C4094" s="4" t="s">
        <v>14</v>
      </c>
      <c r="D4094" s="4" t="s">
        <v>15</v>
      </c>
      <c r="E4094" s="5" t="str">
        <f>"9521021"</f>
        <v>9521021</v>
      </c>
      <c r="F4094" s="3" t="s">
        <v>13012</v>
      </c>
      <c r="G4094" s="5">
        <v>2382022950</v>
      </c>
      <c r="H4094" s="4" t="s">
        <v>13013</v>
      </c>
      <c r="I4094" s="4" t="s">
        <v>12821</v>
      </c>
      <c r="J4094" s="4" t="s">
        <v>12822</v>
      </c>
      <c r="K4094" s="4" t="s">
        <v>13014</v>
      </c>
      <c r="L4094" s="5">
        <v>58100</v>
      </c>
    </row>
    <row r="4095" spans="1:12" x14ac:dyDescent="0.25">
      <c r="A4095" s="3" t="s">
        <v>10786</v>
      </c>
      <c r="B4095" s="4" t="s">
        <v>12813</v>
      </c>
      <c r="C4095" s="4" t="s">
        <v>14</v>
      </c>
      <c r="D4095" s="4" t="s">
        <v>15</v>
      </c>
      <c r="E4095" s="5" t="str">
        <f>"9380100"</f>
        <v>9380100</v>
      </c>
      <c r="F4095" s="3" t="s">
        <v>13015</v>
      </c>
      <c r="G4095" s="5">
        <v>2382051330</v>
      </c>
      <c r="H4095" s="4" t="s">
        <v>13016</v>
      </c>
      <c r="I4095" s="4" t="s">
        <v>12821</v>
      </c>
      <c r="J4095" s="4" t="s">
        <v>13017</v>
      </c>
      <c r="K4095" s="4" t="s">
        <v>13018</v>
      </c>
      <c r="L4095" s="5">
        <v>58100</v>
      </c>
    </row>
    <row r="4096" spans="1:12" x14ac:dyDescent="0.25">
      <c r="A4096" s="3" t="s">
        <v>10786</v>
      </c>
      <c r="B4096" s="4" t="s">
        <v>12813</v>
      </c>
      <c r="C4096" s="4" t="s">
        <v>25</v>
      </c>
      <c r="D4096" s="4" t="s">
        <v>26</v>
      </c>
      <c r="E4096" s="5" t="str">
        <f>"9380003"</f>
        <v>9380003</v>
      </c>
      <c r="F4096" s="3" t="s">
        <v>13019</v>
      </c>
      <c r="G4096" s="5">
        <v>2384022507</v>
      </c>
      <c r="H4096" s="4" t="s">
        <v>13020</v>
      </c>
      <c r="I4096" s="4" t="s">
        <v>12816</v>
      </c>
      <c r="J4096" s="4" t="s">
        <v>12928</v>
      </c>
      <c r="K4096" s="4" t="s">
        <v>13021</v>
      </c>
      <c r="L4096" s="5">
        <v>58400</v>
      </c>
    </row>
    <row r="4097" spans="1:12" x14ac:dyDescent="0.25">
      <c r="A4097" s="3" t="s">
        <v>10786</v>
      </c>
      <c r="B4097" s="4" t="s">
        <v>12813</v>
      </c>
      <c r="C4097" s="4" t="s">
        <v>25</v>
      </c>
      <c r="D4097" s="4" t="s">
        <v>26</v>
      </c>
      <c r="E4097" s="5" t="str">
        <f>"9380023"</f>
        <v>9380023</v>
      </c>
      <c r="F4097" s="3" t="s">
        <v>13022</v>
      </c>
      <c r="G4097" s="5">
        <v>2384041254</v>
      </c>
      <c r="H4097" s="4" t="s">
        <v>13023</v>
      </c>
      <c r="I4097" s="4" t="s">
        <v>12816</v>
      </c>
      <c r="J4097" s="4" t="s">
        <v>13024</v>
      </c>
      <c r="K4097" s="4" t="s">
        <v>12947</v>
      </c>
      <c r="L4097" s="5">
        <v>58004</v>
      </c>
    </row>
    <row r="4098" spans="1:12" x14ac:dyDescent="0.25">
      <c r="A4098" s="3" t="s">
        <v>10786</v>
      </c>
      <c r="B4098" s="4" t="s">
        <v>12813</v>
      </c>
      <c r="C4098" s="4" t="s">
        <v>14</v>
      </c>
      <c r="D4098" s="4" t="s">
        <v>15</v>
      </c>
      <c r="E4098" s="5" t="str">
        <f>"9380002"</f>
        <v>9380002</v>
      </c>
      <c r="F4098" s="3" t="s">
        <v>13025</v>
      </c>
      <c r="G4098" s="5">
        <v>2384021436</v>
      </c>
      <c r="H4098" s="4" t="s">
        <v>13026</v>
      </c>
      <c r="I4098" s="4" t="s">
        <v>12816</v>
      </c>
      <c r="J4098" s="4" t="s">
        <v>12864</v>
      </c>
      <c r="K4098" s="4" t="s">
        <v>13027</v>
      </c>
      <c r="L4098" s="5">
        <v>58400</v>
      </c>
    </row>
    <row r="4099" spans="1:12" x14ac:dyDescent="0.25">
      <c r="A4099" s="3" t="s">
        <v>10786</v>
      </c>
      <c r="B4099" s="4" t="s">
        <v>12813</v>
      </c>
      <c r="C4099" s="4" t="s">
        <v>14</v>
      </c>
      <c r="D4099" s="4" t="s">
        <v>15</v>
      </c>
      <c r="E4099" s="5" t="str">
        <f>"9380215"</f>
        <v>9380215</v>
      </c>
      <c r="F4099" s="3" t="s">
        <v>13028</v>
      </c>
      <c r="G4099" s="5">
        <v>2381041169</v>
      </c>
      <c r="H4099" s="4" t="s">
        <v>13029</v>
      </c>
      <c r="I4099" s="4" t="s">
        <v>12895</v>
      </c>
      <c r="J4099" s="4" t="s">
        <v>13030</v>
      </c>
      <c r="K4099" s="4" t="s">
        <v>13030</v>
      </c>
      <c r="L4099" s="5">
        <v>58500</v>
      </c>
    </row>
    <row r="4100" spans="1:12" x14ac:dyDescent="0.25">
      <c r="A4100" s="3" t="s">
        <v>10786</v>
      </c>
      <c r="B4100" s="4" t="s">
        <v>12813</v>
      </c>
      <c r="C4100" s="4" t="s">
        <v>14</v>
      </c>
      <c r="D4100" s="4" t="s">
        <v>15</v>
      </c>
      <c r="E4100" s="5" t="str">
        <f>"9380248"</f>
        <v>9380248</v>
      </c>
      <c r="F4100" s="3" t="s">
        <v>13031</v>
      </c>
      <c r="G4100" s="5">
        <v>2381089511</v>
      </c>
      <c r="H4100" s="4" t="s">
        <v>13032</v>
      </c>
      <c r="I4100" s="4" t="s">
        <v>12895</v>
      </c>
      <c r="J4100" s="4"/>
      <c r="K4100" s="4" t="s">
        <v>13033</v>
      </c>
      <c r="L4100" s="5">
        <v>58500</v>
      </c>
    </row>
    <row r="4101" spans="1:12" x14ac:dyDescent="0.25">
      <c r="A4101" s="3" t="s">
        <v>10786</v>
      </c>
      <c r="B4101" s="4" t="s">
        <v>12813</v>
      </c>
      <c r="C4101" s="4" t="s">
        <v>14</v>
      </c>
      <c r="D4101" s="4" t="s">
        <v>15</v>
      </c>
      <c r="E4101" s="5" t="str">
        <f>"9380139"</f>
        <v>9380139</v>
      </c>
      <c r="F4101" s="3" t="s">
        <v>13034</v>
      </c>
      <c r="G4101" s="5">
        <v>2381061205</v>
      </c>
      <c r="H4101" s="4" t="s">
        <v>13035</v>
      </c>
      <c r="I4101" s="4" t="s">
        <v>12895</v>
      </c>
      <c r="J4101" s="4" t="s">
        <v>2317</v>
      </c>
      <c r="K4101" s="4" t="s">
        <v>2317</v>
      </c>
      <c r="L4101" s="5">
        <v>58500</v>
      </c>
    </row>
    <row r="4102" spans="1:12" x14ac:dyDescent="0.25">
      <c r="A4102" s="3" t="s">
        <v>10786</v>
      </c>
      <c r="B4102" s="4" t="s">
        <v>12813</v>
      </c>
      <c r="C4102" s="4" t="s">
        <v>14</v>
      </c>
      <c r="D4102" s="4" t="s">
        <v>15</v>
      </c>
      <c r="E4102" s="5" t="str">
        <f>"9380155"</f>
        <v>9380155</v>
      </c>
      <c r="F4102" s="3" t="s">
        <v>13036</v>
      </c>
      <c r="G4102" s="5">
        <v>2381031234</v>
      </c>
      <c r="H4102" s="4" t="s">
        <v>13037</v>
      </c>
      <c r="I4102" s="4" t="s">
        <v>12846</v>
      </c>
      <c r="J4102" s="4" t="s">
        <v>13038</v>
      </c>
      <c r="K4102" s="4" t="s">
        <v>13038</v>
      </c>
      <c r="L4102" s="5">
        <v>58002</v>
      </c>
    </row>
    <row r="4103" spans="1:12" x14ac:dyDescent="0.25">
      <c r="A4103" s="3" t="s">
        <v>10786</v>
      </c>
      <c r="B4103" s="4" t="s">
        <v>12813</v>
      </c>
      <c r="C4103" s="4" t="s">
        <v>14</v>
      </c>
      <c r="D4103" s="4" t="s">
        <v>15</v>
      </c>
      <c r="E4103" s="5" t="str">
        <f>"9380164"</f>
        <v>9380164</v>
      </c>
      <c r="F4103" s="3" t="s">
        <v>13039</v>
      </c>
      <c r="G4103" s="5">
        <v>2381089526</v>
      </c>
      <c r="H4103" s="4" t="s">
        <v>13040</v>
      </c>
      <c r="I4103" s="4" t="s">
        <v>12895</v>
      </c>
      <c r="J4103" s="4" t="s">
        <v>13041</v>
      </c>
      <c r="K4103" s="4" t="s">
        <v>13042</v>
      </c>
      <c r="L4103" s="5">
        <v>58500</v>
      </c>
    </row>
    <row r="4104" spans="1:12" x14ac:dyDescent="0.25">
      <c r="A4104" s="3" t="s">
        <v>10786</v>
      </c>
      <c r="B4104" s="4" t="s">
        <v>12813</v>
      </c>
      <c r="C4104" s="4" t="s">
        <v>14</v>
      </c>
      <c r="D4104" s="4" t="s">
        <v>15</v>
      </c>
      <c r="E4104" s="5" t="str">
        <f>"9380230"</f>
        <v>9380230</v>
      </c>
      <c r="F4104" s="3" t="s">
        <v>13043</v>
      </c>
      <c r="G4104" s="5">
        <v>2381023360</v>
      </c>
      <c r="H4104" s="4" t="s">
        <v>13044</v>
      </c>
      <c r="I4104" s="4" t="s">
        <v>12846</v>
      </c>
      <c r="J4104" s="4" t="s">
        <v>12847</v>
      </c>
      <c r="K4104" s="4" t="s">
        <v>13045</v>
      </c>
      <c r="L4104" s="5">
        <v>58200</v>
      </c>
    </row>
    <row r="4105" spans="1:12" x14ac:dyDescent="0.25">
      <c r="A4105" s="3" t="s">
        <v>10786</v>
      </c>
      <c r="B4105" s="4" t="s">
        <v>12813</v>
      </c>
      <c r="C4105" s="4" t="s">
        <v>14</v>
      </c>
      <c r="D4105" s="4" t="s">
        <v>15</v>
      </c>
      <c r="E4105" s="5" t="str">
        <f>"9380284"</f>
        <v>9380284</v>
      </c>
      <c r="F4105" s="3" t="s">
        <v>13046</v>
      </c>
      <c r="G4105" s="5">
        <v>2381027037</v>
      </c>
      <c r="H4105" s="4" t="s">
        <v>13047</v>
      </c>
      <c r="I4105" s="4" t="s">
        <v>12846</v>
      </c>
      <c r="J4105" s="4" t="s">
        <v>12847</v>
      </c>
      <c r="K4105" s="4" t="s">
        <v>13048</v>
      </c>
      <c r="L4105" s="5">
        <v>58200</v>
      </c>
    </row>
    <row r="4106" spans="1:12" x14ac:dyDescent="0.25">
      <c r="A4106" s="3" t="s">
        <v>10786</v>
      </c>
      <c r="B4106" s="4" t="s">
        <v>12813</v>
      </c>
      <c r="C4106" s="4" t="s">
        <v>14</v>
      </c>
      <c r="D4106" s="4" t="s">
        <v>15</v>
      </c>
      <c r="E4106" s="5" t="str">
        <f>"9380225"</f>
        <v>9380225</v>
      </c>
      <c r="F4106" s="3" t="s">
        <v>13049</v>
      </c>
      <c r="G4106" s="5">
        <v>2381023258</v>
      </c>
      <c r="H4106" s="4" t="s">
        <v>13050</v>
      </c>
      <c r="I4106" s="4" t="s">
        <v>12846</v>
      </c>
      <c r="J4106" s="4" t="s">
        <v>12847</v>
      </c>
      <c r="K4106" s="4" t="s">
        <v>13051</v>
      </c>
      <c r="L4106" s="5">
        <v>58200</v>
      </c>
    </row>
    <row r="4107" spans="1:12" x14ac:dyDescent="0.25">
      <c r="A4107" s="3" t="s">
        <v>10786</v>
      </c>
      <c r="B4107" s="4" t="s">
        <v>12813</v>
      </c>
      <c r="C4107" s="4" t="s">
        <v>25</v>
      </c>
      <c r="D4107" s="4" t="s">
        <v>26</v>
      </c>
      <c r="E4107" s="5" t="str">
        <f>"9380229"</f>
        <v>9380229</v>
      </c>
      <c r="F4107" s="3" t="s">
        <v>13052</v>
      </c>
      <c r="G4107" s="5">
        <v>2381025539</v>
      </c>
      <c r="H4107" s="4" t="s">
        <v>13053</v>
      </c>
      <c r="I4107" s="4" t="s">
        <v>12846</v>
      </c>
      <c r="J4107" s="4" t="s">
        <v>12846</v>
      </c>
      <c r="K4107" s="4" t="s">
        <v>13054</v>
      </c>
      <c r="L4107" s="5">
        <v>58200</v>
      </c>
    </row>
    <row r="4108" spans="1:12" x14ac:dyDescent="0.25">
      <c r="A4108" s="3" t="s">
        <v>10786</v>
      </c>
      <c r="B4108" s="4" t="s">
        <v>12813</v>
      </c>
      <c r="C4108" s="4" t="s">
        <v>25</v>
      </c>
      <c r="D4108" s="4" t="s">
        <v>26</v>
      </c>
      <c r="E4108" s="5" t="str">
        <f>"9380281"</f>
        <v>9380281</v>
      </c>
      <c r="F4108" s="3" t="s">
        <v>13055</v>
      </c>
      <c r="G4108" s="5">
        <v>2381022111</v>
      </c>
      <c r="H4108" s="4" t="s">
        <v>13056</v>
      </c>
      <c r="I4108" s="4" t="s">
        <v>12846</v>
      </c>
      <c r="J4108" s="4" t="s">
        <v>12846</v>
      </c>
      <c r="K4108" s="4" t="s">
        <v>13057</v>
      </c>
      <c r="L4108" s="5">
        <v>58200</v>
      </c>
    </row>
    <row r="4109" spans="1:12" x14ac:dyDescent="0.25">
      <c r="A4109" s="3" t="s">
        <v>10786</v>
      </c>
      <c r="B4109" s="4" t="s">
        <v>12813</v>
      </c>
      <c r="C4109" s="4" t="s">
        <v>14</v>
      </c>
      <c r="D4109" s="4" t="s">
        <v>15</v>
      </c>
      <c r="E4109" s="5" t="str">
        <f>"9380004"</f>
        <v>9380004</v>
      </c>
      <c r="F4109" s="3" t="s">
        <v>13058</v>
      </c>
      <c r="G4109" s="5">
        <v>2384021397</v>
      </c>
      <c r="H4109" s="4" t="s">
        <v>13059</v>
      </c>
      <c r="I4109" s="4" t="s">
        <v>12816</v>
      </c>
      <c r="J4109" s="4" t="s">
        <v>12864</v>
      </c>
      <c r="K4109" s="4" t="s">
        <v>13060</v>
      </c>
      <c r="L4109" s="5">
        <v>58400</v>
      </c>
    </row>
    <row r="4110" spans="1:12" x14ac:dyDescent="0.25">
      <c r="A4110" s="3" t="s">
        <v>10786</v>
      </c>
      <c r="B4110" s="4" t="s">
        <v>12813</v>
      </c>
      <c r="C4110" s="4" t="s">
        <v>25</v>
      </c>
      <c r="D4110" s="4" t="s">
        <v>26</v>
      </c>
      <c r="E4110" s="5" t="str">
        <f>"9521468"</f>
        <v>9521468</v>
      </c>
      <c r="F4110" s="3" t="s">
        <v>13061</v>
      </c>
      <c r="G4110" s="5">
        <v>2382082564</v>
      </c>
      <c r="H4110" s="4" t="s">
        <v>13062</v>
      </c>
      <c r="I4110" s="4" t="s">
        <v>12821</v>
      </c>
      <c r="J4110" s="4" t="s">
        <v>12822</v>
      </c>
      <c r="K4110" s="4" t="s">
        <v>13063</v>
      </c>
      <c r="L4110" s="5">
        <v>58100</v>
      </c>
    </row>
    <row r="4111" spans="1:12" ht="30" x14ac:dyDescent="0.25">
      <c r="A4111" s="3" t="s">
        <v>10786</v>
      </c>
      <c r="B4111" s="4" t="s">
        <v>12813</v>
      </c>
      <c r="C4111" s="4" t="s">
        <v>14</v>
      </c>
      <c r="D4111" s="4" t="s">
        <v>15</v>
      </c>
      <c r="E4111" s="5" t="str">
        <f>"9521557"</f>
        <v>9521557</v>
      </c>
      <c r="F4111" s="3" t="s">
        <v>13064</v>
      </c>
      <c r="G4111" s="5">
        <v>2382024870</v>
      </c>
      <c r="H4111" s="4" t="s">
        <v>13065</v>
      </c>
      <c r="I4111" s="4" t="s">
        <v>12821</v>
      </c>
      <c r="J4111" s="4" t="s">
        <v>12822</v>
      </c>
      <c r="K4111" s="4" t="s">
        <v>13066</v>
      </c>
      <c r="L4111" s="5">
        <v>58100</v>
      </c>
    </row>
    <row r="4112" spans="1:12" x14ac:dyDescent="0.25">
      <c r="A4112" s="3" t="s">
        <v>10786</v>
      </c>
      <c r="B4112" s="4" t="s">
        <v>12813</v>
      </c>
      <c r="C4112" s="4" t="s">
        <v>25</v>
      </c>
      <c r="D4112" s="4" t="s">
        <v>26</v>
      </c>
      <c r="E4112" s="5" t="str">
        <f>"9380745"</f>
        <v>9380745</v>
      </c>
      <c r="F4112" s="3" t="s">
        <v>13067</v>
      </c>
      <c r="G4112" s="5">
        <v>2382063745</v>
      </c>
      <c r="H4112" s="4" t="s">
        <v>13068</v>
      </c>
      <c r="I4112" s="4" t="s">
        <v>12821</v>
      </c>
      <c r="J4112" s="4" t="s">
        <v>12884</v>
      </c>
      <c r="K4112" s="4" t="s">
        <v>13069</v>
      </c>
      <c r="L4112" s="5">
        <v>58300</v>
      </c>
    </row>
    <row r="4113" spans="1:12" x14ac:dyDescent="0.25">
      <c r="A4113" s="3" t="s">
        <v>10786</v>
      </c>
      <c r="B4113" s="4" t="s">
        <v>13070</v>
      </c>
      <c r="C4113" s="4" t="s">
        <v>14</v>
      </c>
      <c r="D4113" s="4" t="s">
        <v>15</v>
      </c>
      <c r="E4113" s="5" t="str">
        <f>"9390012"</f>
        <v>9390012</v>
      </c>
      <c r="F4113" s="3" t="s">
        <v>13071</v>
      </c>
      <c r="G4113" s="5">
        <v>2351023904</v>
      </c>
      <c r="H4113" s="4" t="s">
        <v>13072</v>
      </c>
      <c r="I4113" s="4" t="s">
        <v>13073</v>
      </c>
      <c r="J4113" s="4" t="s">
        <v>13074</v>
      </c>
      <c r="K4113" s="4" t="s">
        <v>13075</v>
      </c>
      <c r="L4113" s="5">
        <v>60133</v>
      </c>
    </row>
    <row r="4114" spans="1:12" x14ac:dyDescent="0.25">
      <c r="A4114" s="3" t="s">
        <v>10786</v>
      </c>
      <c r="B4114" s="4" t="s">
        <v>13070</v>
      </c>
      <c r="C4114" s="4" t="s">
        <v>14</v>
      </c>
      <c r="D4114" s="4" t="s">
        <v>15</v>
      </c>
      <c r="E4114" s="5" t="str">
        <f>"9390055"</f>
        <v>9390055</v>
      </c>
      <c r="F4114" s="3" t="s">
        <v>13076</v>
      </c>
      <c r="G4114" s="5">
        <v>2351045194</v>
      </c>
      <c r="H4114" s="4" t="s">
        <v>13077</v>
      </c>
      <c r="I4114" s="4" t="s">
        <v>13073</v>
      </c>
      <c r="J4114" s="4" t="s">
        <v>13074</v>
      </c>
      <c r="K4114" s="4" t="s">
        <v>11629</v>
      </c>
      <c r="L4114" s="5">
        <v>60100</v>
      </c>
    </row>
    <row r="4115" spans="1:12" x14ac:dyDescent="0.25">
      <c r="A4115" s="3" t="s">
        <v>10786</v>
      </c>
      <c r="B4115" s="4" t="s">
        <v>13070</v>
      </c>
      <c r="C4115" s="4" t="s">
        <v>14</v>
      </c>
      <c r="D4115" s="4" t="s">
        <v>15</v>
      </c>
      <c r="E4115" s="5" t="str">
        <f>"9390054"</f>
        <v>9390054</v>
      </c>
      <c r="F4115" s="3" t="s">
        <v>13078</v>
      </c>
      <c r="G4115" s="5">
        <v>2351029335</v>
      </c>
      <c r="H4115" s="4" t="s">
        <v>13079</v>
      </c>
      <c r="I4115" s="4" t="s">
        <v>13073</v>
      </c>
      <c r="J4115" s="4" t="s">
        <v>13074</v>
      </c>
      <c r="K4115" s="4" t="s">
        <v>13080</v>
      </c>
      <c r="L4115" s="5">
        <v>60132</v>
      </c>
    </row>
    <row r="4116" spans="1:12" x14ac:dyDescent="0.25">
      <c r="A4116" s="3" t="s">
        <v>10786</v>
      </c>
      <c r="B4116" s="4" t="s">
        <v>13070</v>
      </c>
      <c r="C4116" s="4" t="s">
        <v>14</v>
      </c>
      <c r="D4116" s="4" t="s">
        <v>15</v>
      </c>
      <c r="E4116" s="5" t="str">
        <f>"9390069"</f>
        <v>9390069</v>
      </c>
      <c r="F4116" s="3" t="s">
        <v>13081</v>
      </c>
      <c r="G4116" s="5">
        <v>2352031231</v>
      </c>
      <c r="H4116" s="4" t="s">
        <v>13082</v>
      </c>
      <c r="I4116" s="4" t="s">
        <v>13083</v>
      </c>
      <c r="J4116" s="4" t="s">
        <v>13084</v>
      </c>
      <c r="K4116" s="4" t="s">
        <v>13085</v>
      </c>
      <c r="L4116" s="5">
        <v>60063</v>
      </c>
    </row>
    <row r="4117" spans="1:12" x14ac:dyDescent="0.25">
      <c r="A4117" s="3" t="s">
        <v>10786</v>
      </c>
      <c r="B4117" s="4" t="s">
        <v>13070</v>
      </c>
      <c r="C4117" s="4" t="s">
        <v>14</v>
      </c>
      <c r="D4117" s="4" t="s">
        <v>15</v>
      </c>
      <c r="E4117" s="5" t="str">
        <f>"9390103"</f>
        <v>9390103</v>
      </c>
      <c r="F4117" s="3" t="s">
        <v>13086</v>
      </c>
      <c r="G4117" s="5">
        <v>2351023842</v>
      </c>
      <c r="H4117" s="4" t="s">
        <v>13087</v>
      </c>
      <c r="I4117" s="4" t="s">
        <v>13073</v>
      </c>
      <c r="J4117" s="4" t="s">
        <v>13073</v>
      </c>
      <c r="K4117" s="4" t="s">
        <v>13088</v>
      </c>
      <c r="L4117" s="5">
        <v>60100</v>
      </c>
    </row>
    <row r="4118" spans="1:12" x14ac:dyDescent="0.25">
      <c r="A4118" s="3" t="s">
        <v>10786</v>
      </c>
      <c r="B4118" s="4" t="s">
        <v>13070</v>
      </c>
      <c r="C4118" s="4" t="s">
        <v>25</v>
      </c>
      <c r="D4118" s="4" t="s">
        <v>26</v>
      </c>
      <c r="E4118" s="5" t="str">
        <f>"9390099"</f>
        <v>9390099</v>
      </c>
      <c r="F4118" s="3" t="s">
        <v>13089</v>
      </c>
      <c r="G4118" s="5">
        <v>2351035344</v>
      </c>
      <c r="H4118" s="4" t="s">
        <v>13090</v>
      </c>
      <c r="I4118" s="4" t="s">
        <v>13073</v>
      </c>
      <c r="J4118" s="4" t="s">
        <v>13073</v>
      </c>
      <c r="K4118" s="4" t="s">
        <v>5434</v>
      </c>
      <c r="L4118" s="5">
        <v>60132</v>
      </c>
    </row>
    <row r="4119" spans="1:12" x14ac:dyDescent="0.25">
      <c r="A4119" s="3" t="s">
        <v>10786</v>
      </c>
      <c r="B4119" s="4" t="s">
        <v>13070</v>
      </c>
      <c r="C4119" s="4" t="s">
        <v>25</v>
      </c>
      <c r="D4119" s="4" t="s">
        <v>26</v>
      </c>
      <c r="E4119" s="5" t="str">
        <f>"9390182"</f>
        <v>9390182</v>
      </c>
      <c r="F4119" s="3" t="s">
        <v>13091</v>
      </c>
      <c r="G4119" s="5">
        <v>2351045559</v>
      </c>
      <c r="H4119" s="4" t="s">
        <v>13092</v>
      </c>
      <c r="I4119" s="4" t="s">
        <v>13073</v>
      </c>
      <c r="J4119" s="4" t="s">
        <v>13073</v>
      </c>
      <c r="K4119" s="4" t="s">
        <v>13093</v>
      </c>
      <c r="L4119" s="5">
        <v>60100</v>
      </c>
    </row>
    <row r="4120" spans="1:12" x14ac:dyDescent="0.25">
      <c r="A4120" s="3" t="s">
        <v>10786</v>
      </c>
      <c r="B4120" s="4" t="s">
        <v>13070</v>
      </c>
      <c r="C4120" s="4" t="s">
        <v>25</v>
      </c>
      <c r="D4120" s="4" t="s">
        <v>26</v>
      </c>
      <c r="E4120" s="5" t="str">
        <f>"9390091"</f>
        <v>9390091</v>
      </c>
      <c r="F4120" s="3" t="s">
        <v>13094</v>
      </c>
      <c r="G4120" s="5">
        <v>2352041020</v>
      </c>
      <c r="H4120" s="4" t="s">
        <v>13095</v>
      </c>
      <c r="I4120" s="4" t="s">
        <v>13083</v>
      </c>
      <c r="J4120" s="4" t="s">
        <v>13096</v>
      </c>
      <c r="K4120" s="4" t="s">
        <v>13097</v>
      </c>
      <c r="L4120" s="5">
        <v>60065</v>
      </c>
    </row>
    <row r="4121" spans="1:12" x14ac:dyDescent="0.25">
      <c r="A4121" s="3" t="s">
        <v>10786</v>
      </c>
      <c r="B4121" s="4" t="s">
        <v>13070</v>
      </c>
      <c r="C4121" s="4" t="s">
        <v>14</v>
      </c>
      <c r="D4121" s="4" t="s">
        <v>15</v>
      </c>
      <c r="E4121" s="5" t="str">
        <f>"9390141"</f>
        <v>9390141</v>
      </c>
      <c r="F4121" s="3" t="s">
        <v>13098</v>
      </c>
      <c r="G4121" s="5">
        <v>2351024148</v>
      </c>
      <c r="H4121" s="4" t="s">
        <v>13099</v>
      </c>
      <c r="I4121" s="4" t="s">
        <v>13073</v>
      </c>
      <c r="J4121" s="4" t="s">
        <v>13074</v>
      </c>
      <c r="K4121" s="4" t="s">
        <v>13100</v>
      </c>
      <c r="L4121" s="5">
        <v>60134</v>
      </c>
    </row>
    <row r="4122" spans="1:12" x14ac:dyDescent="0.25">
      <c r="A4122" s="3" t="s">
        <v>10786</v>
      </c>
      <c r="B4122" s="4" t="s">
        <v>13070</v>
      </c>
      <c r="C4122" s="4" t="s">
        <v>25</v>
      </c>
      <c r="D4122" s="4" t="s">
        <v>26</v>
      </c>
      <c r="E4122" s="5" t="str">
        <f>"9390115"</f>
        <v>9390115</v>
      </c>
      <c r="F4122" s="3" t="s">
        <v>13101</v>
      </c>
      <c r="G4122" s="5">
        <v>2351061545</v>
      </c>
      <c r="H4122" s="4" t="s">
        <v>13102</v>
      </c>
      <c r="I4122" s="4" t="s">
        <v>13073</v>
      </c>
      <c r="J4122" s="4" t="s">
        <v>4659</v>
      </c>
      <c r="K4122" s="4" t="s">
        <v>13103</v>
      </c>
      <c r="L4122" s="5">
        <v>60100</v>
      </c>
    </row>
    <row r="4123" spans="1:12" x14ac:dyDescent="0.25">
      <c r="A4123" s="3" t="s">
        <v>10786</v>
      </c>
      <c r="B4123" s="4" t="s">
        <v>13070</v>
      </c>
      <c r="C4123" s="4" t="s">
        <v>25</v>
      </c>
      <c r="D4123" s="4" t="s">
        <v>26</v>
      </c>
      <c r="E4123" s="5" t="str">
        <f>"9390007"</f>
        <v>9390007</v>
      </c>
      <c r="F4123" s="3" t="s">
        <v>13104</v>
      </c>
      <c r="G4123" s="5">
        <v>2351023720</v>
      </c>
      <c r="H4123" s="4" t="s">
        <v>13105</v>
      </c>
      <c r="I4123" s="4" t="s">
        <v>13073</v>
      </c>
      <c r="J4123" s="4" t="s">
        <v>13074</v>
      </c>
      <c r="K4123" s="4" t="s">
        <v>13106</v>
      </c>
      <c r="L4123" s="5">
        <v>60133</v>
      </c>
    </row>
    <row r="4124" spans="1:12" x14ac:dyDescent="0.25">
      <c r="A4124" s="3" t="s">
        <v>10786</v>
      </c>
      <c r="B4124" s="4" t="s">
        <v>13070</v>
      </c>
      <c r="C4124" s="4" t="s">
        <v>25</v>
      </c>
      <c r="D4124" s="4" t="s">
        <v>26</v>
      </c>
      <c r="E4124" s="5" t="str">
        <f>"9390008"</f>
        <v>9390008</v>
      </c>
      <c r="F4124" s="3" t="s">
        <v>13107</v>
      </c>
      <c r="G4124" s="5">
        <v>2351079730</v>
      </c>
      <c r="H4124" s="4" t="s">
        <v>13108</v>
      </c>
      <c r="I4124" s="4" t="s">
        <v>13073</v>
      </c>
      <c r="J4124" s="4" t="s">
        <v>13073</v>
      </c>
      <c r="K4124" s="4" t="s">
        <v>13109</v>
      </c>
      <c r="L4124" s="5">
        <v>60100</v>
      </c>
    </row>
    <row r="4125" spans="1:12" x14ac:dyDescent="0.25">
      <c r="A4125" s="3" t="s">
        <v>10786</v>
      </c>
      <c r="B4125" s="4" t="s">
        <v>13070</v>
      </c>
      <c r="C4125" s="4" t="s">
        <v>25</v>
      </c>
      <c r="D4125" s="4" t="s">
        <v>26</v>
      </c>
      <c r="E4125" s="5" t="str">
        <f>"9390010"</f>
        <v>9390010</v>
      </c>
      <c r="F4125" s="3" t="s">
        <v>13110</v>
      </c>
      <c r="G4125" s="5">
        <v>2351034555</v>
      </c>
      <c r="H4125" s="4" t="s">
        <v>13111</v>
      </c>
      <c r="I4125" s="4" t="s">
        <v>13073</v>
      </c>
      <c r="J4125" s="4" t="s">
        <v>13073</v>
      </c>
      <c r="K4125" s="4" t="s">
        <v>13112</v>
      </c>
      <c r="L4125" s="5">
        <v>60100</v>
      </c>
    </row>
    <row r="4126" spans="1:12" x14ac:dyDescent="0.25">
      <c r="A4126" s="3" t="s">
        <v>10786</v>
      </c>
      <c r="B4126" s="4" t="s">
        <v>13070</v>
      </c>
      <c r="C4126" s="4" t="s">
        <v>25</v>
      </c>
      <c r="D4126" s="4" t="s">
        <v>26</v>
      </c>
      <c r="E4126" s="5" t="str">
        <f>"9390146"</f>
        <v>9390146</v>
      </c>
      <c r="F4126" s="3" t="s">
        <v>13113</v>
      </c>
      <c r="G4126" s="5">
        <v>2351078552</v>
      </c>
      <c r="H4126" s="4" t="s">
        <v>13114</v>
      </c>
      <c r="I4126" s="4" t="s">
        <v>13073</v>
      </c>
      <c r="J4126" s="4" t="s">
        <v>13073</v>
      </c>
      <c r="K4126" s="4" t="s">
        <v>13115</v>
      </c>
      <c r="L4126" s="5">
        <v>60100</v>
      </c>
    </row>
    <row r="4127" spans="1:12" x14ac:dyDescent="0.25">
      <c r="A4127" s="3" t="s">
        <v>10786</v>
      </c>
      <c r="B4127" s="4" t="s">
        <v>13070</v>
      </c>
      <c r="C4127" s="4" t="s">
        <v>25</v>
      </c>
      <c r="D4127" s="4" t="s">
        <v>26</v>
      </c>
      <c r="E4127" s="5" t="str">
        <f>"9390056"</f>
        <v>9390056</v>
      </c>
      <c r="F4127" s="3" t="s">
        <v>13116</v>
      </c>
      <c r="G4127" s="5">
        <v>2351030858</v>
      </c>
      <c r="H4127" s="4" t="s">
        <v>13117</v>
      </c>
      <c r="I4127" s="4" t="s">
        <v>13073</v>
      </c>
      <c r="J4127" s="4" t="s">
        <v>13074</v>
      </c>
      <c r="K4127" s="4" t="s">
        <v>13118</v>
      </c>
      <c r="L4127" s="5">
        <v>60131</v>
      </c>
    </row>
    <row r="4128" spans="1:12" x14ac:dyDescent="0.25">
      <c r="A4128" s="3" t="s">
        <v>10786</v>
      </c>
      <c r="B4128" s="4" t="s">
        <v>13070</v>
      </c>
      <c r="C4128" s="4" t="s">
        <v>25</v>
      </c>
      <c r="D4128" s="4" t="s">
        <v>26</v>
      </c>
      <c r="E4128" s="5" t="str">
        <f>"9390119"</f>
        <v>9390119</v>
      </c>
      <c r="F4128" s="3" t="s">
        <v>13119</v>
      </c>
      <c r="G4128" s="5">
        <v>2351041176</v>
      </c>
      <c r="H4128" s="4" t="s">
        <v>13120</v>
      </c>
      <c r="I4128" s="4" t="s">
        <v>13073</v>
      </c>
      <c r="J4128" s="4" t="s">
        <v>13121</v>
      </c>
      <c r="K4128" s="4" t="s">
        <v>13122</v>
      </c>
      <c r="L4128" s="5">
        <v>60062</v>
      </c>
    </row>
    <row r="4129" spans="1:12" x14ac:dyDescent="0.25">
      <c r="A4129" s="3" t="s">
        <v>10786</v>
      </c>
      <c r="B4129" s="4" t="s">
        <v>13070</v>
      </c>
      <c r="C4129" s="4" t="s">
        <v>25</v>
      </c>
      <c r="D4129" s="4" t="s">
        <v>26</v>
      </c>
      <c r="E4129" s="5" t="str">
        <f>"9390179"</f>
        <v>9390179</v>
      </c>
      <c r="F4129" s="3" t="s">
        <v>13123</v>
      </c>
      <c r="G4129" s="5">
        <v>2351036220</v>
      </c>
      <c r="H4129" s="4" t="s">
        <v>13124</v>
      </c>
      <c r="I4129" s="4" t="s">
        <v>13073</v>
      </c>
      <c r="J4129" s="4" t="s">
        <v>13073</v>
      </c>
      <c r="K4129" s="4" t="s">
        <v>13125</v>
      </c>
      <c r="L4129" s="5">
        <v>60100</v>
      </c>
    </row>
    <row r="4130" spans="1:12" x14ac:dyDescent="0.25">
      <c r="A4130" s="3" t="s">
        <v>10786</v>
      </c>
      <c r="B4130" s="4" t="s">
        <v>13070</v>
      </c>
      <c r="C4130" s="4" t="s">
        <v>25</v>
      </c>
      <c r="D4130" s="4" t="s">
        <v>26</v>
      </c>
      <c r="E4130" s="5" t="str">
        <f>"9390009"</f>
        <v>9390009</v>
      </c>
      <c r="F4130" s="3" t="s">
        <v>13126</v>
      </c>
      <c r="G4130" s="5">
        <v>2351079440</v>
      </c>
      <c r="H4130" s="4" t="s">
        <v>13127</v>
      </c>
      <c r="I4130" s="4" t="s">
        <v>13073</v>
      </c>
      <c r="J4130" s="4" t="s">
        <v>13073</v>
      </c>
      <c r="K4130" s="4" t="s">
        <v>13075</v>
      </c>
      <c r="L4130" s="5">
        <v>60100</v>
      </c>
    </row>
    <row r="4131" spans="1:12" x14ac:dyDescent="0.25">
      <c r="A4131" s="3" t="s">
        <v>10786</v>
      </c>
      <c r="B4131" s="4" t="s">
        <v>13070</v>
      </c>
      <c r="C4131" s="4" t="s">
        <v>14</v>
      </c>
      <c r="D4131" s="4" t="s">
        <v>15</v>
      </c>
      <c r="E4131" s="5" t="str">
        <f>"9390058"</f>
        <v>9390058</v>
      </c>
      <c r="F4131" s="3" t="s">
        <v>13128</v>
      </c>
      <c r="G4131" s="5">
        <v>2351023732</v>
      </c>
      <c r="H4131" s="4" t="s">
        <v>13129</v>
      </c>
      <c r="I4131" s="4" t="s">
        <v>13073</v>
      </c>
      <c r="J4131" s="4" t="s">
        <v>13130</v>
      </c>
      <c r="K4131" s="4" t="s">
        <v>13131</v>
      </c>
      <c r="L4131" s="5">
        <v>60132</v>
      </c>
    </row>
    <row r="4132" spans="1:12" x14ac:dyDescent="0.25">
      <c r="A4132" s="3" t="s">
        <v>10786</v>
      </c>
      <c r="B4132" s="4" t="s">
        <v>13070</v>
      </c>
      <c r="C4132" s="4" t="s">
        <v>25</v>
      </c>
      <c r="D4132" s="4" t="s">
        <v>26</v>
      </c>
      <c r="E4132" s="5" t="str">
        <f>"9390131"</f>
        <v>9390131</v>
      </c>
      <c r="F4132" s="3" t="s">
        <v>13132</v>
      </c>
      <c r="G4132" s="5">
        <v>2351076790</v>
      </c>
      <c r="H4132" s="4" t="s">
        <v>13133</v>
      </c>
      <c r="I4132" s="4" t="s">
        <v>13073</v>
      </c>
      <c r="J4132" s="4" t="s">
        <v>13134</v>
      </c>
      <c r="K4132" s="4" t="s">
        <v>13135</v>
      </c>
      <c r="L4132" s="5">
        <v>60100</v>
      </c>
    </row>
    <row r="4133" spans="1:12" x14ac:dyDescent="0.25">
      <c r="A4133" s="3" t="s">
        <v>10786</v>
      </c>
      <c r="B4133" s="4" t="s">
        <v>13070</v>
      </c>
      <c r="C4133" s="4" t="s">
        <v>14</v>
      </c>
      <c r="D4133" s="4" t="s">
        <v>15</v>
      </c>
      <c r="E4133" s="5" t="str">
        <f>"9390019"</f>
        <v>9390019</v>
      </c>
      <c r="F4133" s="3" t="s">
        <v>13136</v>
      </c>
      <c r="G4133" s="5">
        <v>2353031220</v>
      </c>
      <c r="H4133" s="4" t="s">
        <v>13137</v>
      </c>
      <c r="I4133" s="4" t="s">
        <v>13138</v>
      </c>
      <c r="J4133" s="4" t="s">
        <v>13139</v>
      </c>
      <c r="K4133" s="4" t="s">
        <v>13140</v>
      </c>
      <c r="L4133" s="5">
        <v>60061</v>
      </c>
    </row>
    <row r="4134" spans="1:12" x14ac:dyDescent="0.25">
      <c r="A4134" s="3" t="s">
        <v>10786</v>
      </c>
      <c r="B4134" s="4" t="s">
        <v>13070</v>
      </c>
      <c r="C4134" s="4" t="s">
        <v>25</v>
      </c>
      <c r="D4134" s="4" t="s">
        <v>26</v>
      </c>
      <c r="E4134" s="5" t="str">
        <f>"9390104"</f>
        <v>9390104</v>
      </c>
      <c r="F4134" s="3" t="s">
        <v>13141</v>
      </c>
      <c r="G4134" s="5">
        <v>2351035978</v>
      </c>
      <c r="H4134" s="4" t="s">
        <v>13142</v>
      </c>
      <c r="I4134" s="4" t="s">
        <v>13073</v>
      </c>
      <c r="J4134" s="4" t="s">
        <v>13074</v>
      </c>
      <c r="K4134" s="4" t="s">
        <v>13088</v>
      </c>
      <c r="L4134" s="5">
        <v>60100</v>
      </c>
    </row>
    <row r="4135" spans="1:12" x14ac:dyDescent="0.25">
      <c r="A4135" s="3" t="s">
        <v>10786</v>
      </c>
      <c r="B4135" s="4" t="s">
        <v>13070</v>
      </c>
      <c r="C4135" s="4" t="s">
        <v>14</v>
      </c>
      <c r="D4135" s="4" t="s">
        <v>15</v>
      </c>
      <c r="E4135" s="5" t="str">
        <f>"9390102"</f>
        <v>9390102</v>
      </c>
      <c r="F4135" s="3" t="s">
        <v>13143</v>
      </c>
      <c r="G4135" s="5">
        <v>2351023630</v>
      </c>
      <c r="H4135" s="4" t="s">
        <v>13144</v>
      </c>
      <c r="I4135" s="4" t="s">
        <v>13073</v>
      </c>
      <c r="J4135" s="4" t="s">
        <v>13074</v>
      </c>
      <c r="K4135" s="4" t="s">
        <v>5434</v>
      </c>
      <c r="L4135" s="5">
        <v>60100</v>
      </c>
    </row>
    <row r="4136" spans="1:12" x14ac:dyDescent="0.25">
      <c r="A4136" s="3" t="s">
        <v>10786</v>
      </c>
      <c r="B4136" s="4" t="s">
        <v>13070</v>
      </c>
      <c r="C4136" s="4" t="s">
        <v>25</v>
      </c>
      <c r="D4136" s="4" t="s">
        <v>26</v>
      </c>
      <c r="E4136" s="5" t="str">
        <f>"9390057"</f>
        <v>9390057</v>
      </c>
      <c r="F4136" s="3" t="s">
        <v>13145</v>
      </c>
      <c r="G4136" s="5">
        <v>2351023758</v>
      </c>
      <c r="H4136" s="4" t="s">
        <v>13146</v>
      </c>
      <c r="I4136" s="4" t="s">
        <v>13073</v>
      </c>
      <c r="J4136" s="4" t="s">
        <v>13073</v>
      </c>
      <c r="K4136" s="4" t="s">
        <v>11629</v>
      </c>
      <c r="L4136" s="5">
        <v>60100</v>
      </c>
    </row>
    <row r="4137" spans="1:12" x14ac:dyDescent="0.25">
      <c r="A4137" s="3" t="s">
        <v>10786</v>
      </c>
      <c r="B4137" s="4" t="s">
        <v>13070</v>
      </c>
      <c r="C4137" s="4" t="s">
        <v>14</v>
      </c>
      <c r="D4137" s="4" t="s">
        <v>15</v>
      </c>
      <c r="E4137" s="5" t="str">
        <f>"9390160"</f>
        <v>9390160</v>
      </c>
      <c r="F4137" s="3" t="s">
        <v>13147</v>
      </c>
      <c r="G4137" s="5">
        <v>2351025529</v>
      </c>
      <c r="H4137" s="4" t="s">
        <v>13148</v>
      </c>
      <c r="I4137" s="4" t="s">
        <v>13073</v>
      </c>
      <c r="J4137" s="4" t="s">
        <v>13074</v>
      </c>
      <c r="K4137" s="4" t="s">
        <v>13149</v>
      </c>
      <c r="L4137" s="5">
        <v>60134</v>
      </c>
    </row>
    <row r="4138" spans="1:12" x14ac:dyDescent="0.25">
      <c r="A4138" s="3" t="s">
        <v>10786</v>
      </c>
      <c r="B4138" s="4" t="s">
        <v>13070</v>
      </c>
      <c r="C4138" s="4" t="s">
        <v>14</v>
      </c>
      <c r="D4138" s="4" t="s">
        <v>15</v>
      </c>
      <c r="E4138" s="5" t="str">
        <f>"9390013"</f>
        <v>9390013</v>
      </c>
      <c r="F4138" s="3" t="s">
        <v>13150</v>
      </c>
      <c r="G4138" s="5">
        <v>2351023004</v>
      </c>
      <c r="H4138" s="4" t="s">
        <v>13151</v>
      </c>
      <c r="I4138" s="4" t="s">
        <v>13073</v>
      </c>
      <c r="J4138" s="4" t="s">
        <v>13074</v>
      </c>
      <c r="K4138" s="4" t="s">
        <v>13152</v>
      </c>
      <c r="L4138" s="5">
        <v>60134</v>
      </c>
    </row>
    <row r="4139" spans="1:12" x14ac:dyDescent="0.25">
      <c r="A4139" s="3" t="s">
        <v>10786</v>
      </c>
      <c r="B4139" s="4" t="s">
        <v>13070</v>
      </c>
      <c r="C4139" s="4" t="s">
        <v>14</v>
      </c>
      <c r="D4139" s="4" t="s">
        <v>15</v>
      </c>
      <c r="E4139" s="5" t="str">
        <f>"9390135"</f>
        <v>9390135</v>
      </c>
      <c r="F4139" s="3" t="s">
        <v>13153</v>
      </c>
      <c r="G4139" s="5">
        <v>2351092360</v>
      </c>
      <c r="H4139" s="4" t="s">
        <v>13154</v>
      </c>
      <c r="I4139" s="4" t="s">
        <v>13073</v>
      </c>
      <c r="J4139" s="4" t="s">
        <v>13155</v>
      </c>
      <c r="K4139" s="4" t="s">
        <v>13156</v>
      </c>
      <c r="L4139" s="5">
        <v>60100</v>
      </c>
    </row>
    <row r="4140" spans="1:12" x14ac:dyDescent="0.25">
      <c r="A4140" s="3" t="s">
        <v>10786</v>
      </c>
      <c r="B4140" s="4" t="s">
        <v>13070</v>
      </c>
      <c r="C4140" s="4" t="s">
        <v>25</v>
      </c>
      <c r="D4140" s="4" t="s">
        <v>26</v>
      </c>
      <c r="E4140" s="5" t="str">
        <f>"9390061"</f>
        <v>9390061</v>
      </c>
      <c r="F4140" s="3" t="s">
        <v>13157</v>
      </c>
      <c r="G4140" s="5">
        <v>2351055333</v>
      </c>
      <c r="H4140" s="4" t="s">
        <v>13158</v>
      </c>
      <c r="I4140" s="4" t="s">
        <v>13083</v>
      </c>
      <c r="J4140" s="4" t="s">
        <v>13159</v>
      </c>
      <c r="K4140" s="4" t="s">
        <v>13160</v>
      </c>
      <c r="L4140" s="5">
        <v>60100</v>
      </c>
    </row>
    <row r="4141" spans="1:12" x14ac:dyDescent="0.25">
      <c r="A4141" s="3" t="s">
        <v>10786</v>
      </c>
      <c r="B4141" s="4" t="s">
        <v>13070</v>
      </c>
      <c r="C4141" s="4" t="s">
        <v>25</v>
      </c>
      <c r="D4141" s="4" t="s">
        <v>26</v>
      </c>
      <c r="E4141" s="5" t="str">
        <f>"9390052"</f>
        <v>9390052</v>
      </c>
      <c r="F4141" s="3" t="s">
        <v>13161</v>
      </c>
      <c r="G4141" s="5">
        <v>2351029829</v>
      </c>
      <c r="H4141" s="4" t="s">
        <v>13162</v>
      </c>
      <c r="I4141" s="4" t="s">
        <v>13073</v>
      </c>
      <c r="J4141" s="4" t="s">
        <v>13073</v>
      </c>
      <c r="K4141" s="4" t="s">
        <v>13163</v>
      </c>
      <c r="L4141" s="5">
        <v>60100</v>
      </c>
    </row>
    <row r="4142" spans="1:12" x14ac:dyDescent="0.25">
      <c r="A4142" s="3" t="s">
        <v>10786</v>
      </c>
      <c r="B4142" s="4" t="s">
        <v>13070</v>
      </c>
      <c r="C4142" s="4" t="s">
        <v>25</v>
      </c>
      <c r="D4142" s="4" t="s">
        <v>26</v>
      </c>
      <c r="E4142" s="5" t="str">
        <f>"9390142"</f>
        <v>9390142</v>
      </c>
      <c r="F4142" s="3" t="s">
        <v>13164</v>
      </c>
      <c r="G4142" s="5">
        <v>2351078774</v>
      </c>
      <c r="H4142" s="4" t="s">
        <v>13165</v>
      </c>
      <c r="I4142" s="4" t="s">
        <v>13073</v>
      </c>
      <c r="J4142" s="4" t="s">
        <v>13073</v>
      </c>
      <c r="K4142" s="4" t="s">
        <v>13166</v>
      </c>
      <c r="L4142" s="5">
        <v>60134</v>
      </c>
    </row>
    <row r="4143" spans="1:12" x14ac:dyDescent="0.25">
      <c r="A4143" s="3" t="s">
        <v>10786</v>
      </c>
      <c r="B4143" s="4" t="s">
        <v>13070</v>
      </c>
      <c r="C4143" s="4" t="s">
        <v>14</v>
      </c>
      <c r="D4143" s="4" t="s">
        <v>15</v>
      </c>
      <c r="E4143" s="5" t="str">
        <f>"9390005"</f>
        <v>9390005</v>
      </c>
      <c r="F4143" s="3" t="s">
        <v>13167</v>
      </c>
      <c r="G4143" s="5">
        <v>2353305003</v>
      </c>
      <c r="H4143" s="4" t="s">
        <v>13168</v>
      </c>
      <c r="I4143" s="4" t="s">
        <v>13138</v>
      </c>
      <c r="J4143" s="4" t="s">
        <v>13169</v>
      </c>
      <c r="K4143" s="4" t="s">
        <v>13170</v>
      </c>
      <c r="L4143" s="5">
        <v>60300</v>
      </c>
    </row>
    <row r="4144" spans="1:12" x14ac:dyDescent="0.25">
      <c r="A4144" s="3" t="s">
        <v>10786</v>
      </c>
      <c r="B4144" s="4" t="s">
        <v>13070</v>
      </c>
      <c r="C4144" s="4" t="s">
        <v>14</v>
      </c>
      <c r="D4144" s="4" t="s">
        <v>15</v>
      </c>
      <c r="E4144" s="5" t="str">
        <f>"9390027"</f>
        <v>9390027</v>
      </c>
      <c r="F4144" s="3" t="s">
        <v>13171</v>
      </c>
      <c r="G4144" s="5">
        <v>2353041223</v>
      </c>
      <c r="H4144" s="4" t="s">
        <v>13172</v>
      </c>
      <c r="I4144" s="4" t="s">
        <v>13138</v>
      </c>
      <c r="J4144" s="4" t="s">
        <v>13173</v>
      </c>
      <c r="K4144" s="4" t="s">
        <v>13174</v>
      </c>
      <c r="L4144" s="5">
        <v>60066</v>
      </c>
    </row>
    <row r="4145" spans="1:12" x14ac:dyDescent="0.25">
      <c r="A4145" s="3" t="s">
        <v>10786</v>
      </c>
      <c r="B4145" s="4" t="s">
        <v>13070</v>
      </c>
      <c r="C4145" s="4" t="s">
        <v>25</v>
      </c>
      <c r="D4145" s="4" t="s">
        <v>26</v>
      </c>
      <c r="E4145" s="5" t="str">
        <f>"9390060"</f>
        <v>9390060</v>
      </c>
      <c r="F4145" s="3" t="s">
        <v>13175</v>
      </c>
      <c r="G4145" s="5">
        <v>2351055871</v>
      </c>
      <c r="H4145" s="4" t="s">
        <v>13176</v>
      </c>
      <c r="I4145" s="4" t="s">
        <v>13083</v>
      </c>
      <c r="J4145" s="4" t="s">
        <v>13177</v>
      </c>
      <c r="K4145" s="4" t="s">
        <v>8667</v>
      </c>
      <c r="L4145" s="5">
        <v>60100</v>
      </c>
    </row>
    <row r="4146" spans="1:12" x14ac:dyDescent="0.25">
      <c r="A4146" s="3" t="s">
        <v>10786</v>
      </c>
      <c r="B4146" s="4" t="s">
        <v>13070</v>
      </c>
      <c r="C4146" s="4" t="s">
        <v>25</v>
      </c>
      <c r="D4146" s="4" t="s">
        <v>26</v>
      </c>
      <c r="E4146" s="5" t="str">
        <f>"9390098"</f>
        <v>9390098</v>
      </c>
      <c r="F4146" s="3" t="s">
        <v>13178</v>
      </c>
      <c r="G4146" s="5">
        <v>2351039091</v>
      </c>
      <c r="H4146" s="4" t="s">
        <v>13179</v>
      </c>
      <c r="I4146" s="4" t="s">
        <v>13073</v>
      </c>
      <c r="J4146" s="4" t="s">
        <v>13073</v>
      </c>
      <c r="K4146" s="4" t="s">
        <v>13180</v>
      </c>
      <c r="L4146" s="5">
        <v>60100</v>
      </c>
    </row>
    <row r="4147" spans="1:12" x14ac:dyDescent="0.25">
      <c r="A4147" s="3" t="s">
        <v>10786</v>
      </c>
      <c r="B4147" s="4" t="s">
        <v>13070</v>
      </c>
      <c r="C4147" s="4" t="s">
        <v>25</v>
      </c>
      <c r="D4147" s="4" t="s">
        <v>26</v>
      </c>
      <c r="E4147" s="5" t="str">
        <f>"9390168"</f>
        <v>9390168</v>
      </c>
      <c r="F4147" s="3" t="s">
        <v>13181</v>
      </c>
      <c r="G4147" s="5">
        <v>2351079341</v>
      </c>
      <c r="H4147" s="4" t="s">
        <v>13182</v>
      </c>
      <c r="I4147" s="4" t="s">
        <v>13073</v>
      </c>
      <c r="J4147" s="4" t="s">
        <v>13073</v>
      </c>
      <c r="K4147" s="4" t="s">
        <v>13183</v>
      </c>
      <c r="L4147" s="5">
        <v>60100</v>
      </c>
    </row>
    <row r="4148" spans="1:12" x14ac:dyDescent="0.25">
      <c r="A4148" s="3" t="s">
        <v>10786</v>
      </c>
      <c r="B4148" s="4" t="s">
        <v>13070</v>
      </c>
      <c r="C4148" s="4" t="s">
        <v>25</v>
      </c>
      <c r="D4148" s="4" t="s">
        <v>26</v>
      </c>
      <c r="E4148" s="5" t="str">
        <f>"9390148"</f>
        <v>9390148</v>
      </c>
      <c r="F4148" s="3" t="s">
        <v>13184</v>
      </c>
      <c r="G4148" s="5">
        <v>2352081270</v>
      </c>
      <c r="H4148" s="4" t="s">
        <v>13185</v>
      </c>
      <c r="I4148" s="4" t="s">
        <v>13083</v>
      </c>
      <c r="J4148" s="4" t="s">
        <v>13186</v>
      </c>
      <c r="K4148" s="4" t="s">
        <v>13187</v>
      </c>
      <c r="L4148" s="5">
        <v>60200</v>
      </c>
    </row>
    <row r="4149" spans="1:12" x14ac:dyDescent="0.25">
      <c r="A4149" s="3" t="s">
        <v>10786</v>
      </c>
      <c r="B4149" s="4" t="s">
        <v>13070</v>
      </c>
      <c r="C4149" s="4" t="s">
        <v>25</v>
      </c>
      <c r="D4149" s="4" t="s">
        <v>26</v>
      </c>
      <c r="E4149" s="5" t="str">
        <f>"9390100"</f>
        <v>9390100</v>
      </c>
      <c r="F4149" s="3" t="s">
        <v>13188</v>
      </c>
      <c r="G4149" s="5">
        <v>2351022080</v>
      </c>
      <c r="H4149" s="4" t="s">
        <v>13189</v>
      </c>
      <c r="I4149" s="4" t="s">
        <v>13073</v>
      </c>
      <c r="J4149" s="4" t="s">
        <v>13073</v>
      </c>
      <c r="K4149" s="4" t="s">
        <v>13190</v>
      </c>
      <c r="L4149" s="5">
        <v>60133</v>
      </c>
    </row>
    <row r="4150" spans="1:12" x14ac:dyDescent="0.25">
      <c r="A4150" s="3" t="s">
        <v>10786</v>
      </c>
      <c r="B4150" s="4" t="s">
        <v>13070</v>
      </c>
      <c r="C4150" s="4" t="s">
        <v>14</v>
      </c>
      <c r="D4150" s="4" t="s">
        <v>15</v>
      </c>
      <c r="E4150" s="5" t="str">
        <f>"9390003"</f>
        <v>9390003</v>
      </c>
      <c r="F4150" s="3" t="s">
        <v>13191</v>
      </c>
      <c r="G4150" s="5">
        <v>2353022253</v>
      </c>
      <c r="H4150" s="4" t="s">
        <v>13192</v>
      </c>
      <c r="I4150" s="4" t="s">
        <v>13138</v>
      </c>
      <c r="J4150" s="4" t="s">
        <v>13169</v>
      </c>
      <c r="K4150" s="4" t="s">
        <v>13193</v>
      </c>
      <c r="L4150" s="5">
        <v>60300</v>
      </c>
    </row>
    <row r="4151" spans="1:12" x14ac:dyDescent="0.25">
      <c r="A4151" s="3" t="s">
        <v>10786</v>
      </c>
      <c r="B4151" s="4" t="s">
        <v>13070</v>
      </c>
      <c r="C4151" s="4" t="s">
        <v>14</v>
      </c>
      <c r="D4151" s="4" t="s">
        <v>15</v>
      </c>
      <c r="E4151" s="5" t="str">
        <f>"9390059"</f>
        <v>9390059</v>
      </c>
      <c r="F4151" s="3" t="s">
        <v>13194</v>
      </c>
      <c r="G4151" s="5">
        <v>2351055240</v>
      </c>
      <c r="H4151" s="4" t="s">
        <v>13195</v>
      </c>
      <c r="I4151" s="4" t="s">
        <v>13083</v>
      </c>
      <c r="J4151" s="4" t="s">
        <v>8667</v>
      </c>
      <c r="K4151" s="4" t="s">
        <v>8667</v>
      </c>
      <c r="L4151" s="5">
        <v>60100</v>
      </c>
    </row>
    <row r="4152" spans="1:12" x14ac:dyDescent="0.25">
      <c r="A4152" s="3" t="s">
        <v>10786</v>
      </c>
      <c r="B4152" s="4" t="s">
        <v>13070</v>
      </c>
      <c r="C4152" s="4" t="s">
        <v>14</v>
      </c>
      <c r="D4152" s="4" t="s">
        <v>15</v>
      </c>
      <c r="E4152" s="5" t="str">
        <f>"9390070"</f>
        <v>9390070</v>
      </c>
      <c r="F4152" s="3" t="s">
        <v>13196</v>
      </c>
      <c r="G4152" s="5">
        <v>2352081241</v>
      </c>
      <c r="H4152" s="4" t="s">
        <v>13197</v>
      </c>
      <c r="I4152" s="4" t="s">
        <v>13083</v>
      </c>
      <c r="J4152" s="4" t="s">
        <v>13186</v>
      </c>
      <c r="K4152" s="4" t="s">
        <v>13198</v>
      </c>
      <c r="L4152" s="5">
        <v>60200</v>
      </c>
    </row>
    <row r="4153" spans="1:12" x14ac:dyDescent="0.25">
      <c r="A4153" s="3" t="s">
        <v>10786</v>
      </c>
      <c r="B4153" s="4" t="s">
        <v>13070</v>
      </c>
      <c r="C4153" s="4" t="s">
        <v>14</v>
      </c>
      <c r="D4153" s="4" t="s">
        <v>15</v>
      </c>
      <c r="E4153" s="5" t="str">
        <f>"9390039"</f>
        <v>9390039</v>
      </c>
      <c r="F4153" s="3" t="s">
        <v>13199</v>
      </c>
      <c r="G4153" s="5">
        <v>2351071221</v>
      </c>
      <c r="H4153" s="4" t="s">
        <v>13200</v>
      </c>
      <c r="I4153" s="4" t="s">
        <v>13138</v>
      </c>
      <c r="J4153" s="4" t="s">
        <v>13201</v>
      </c>
      <c r="K4153" s="4" t="s">
        <v>13201</v>
      </c>
      <c r="L4153" s="5">
        <v>60064</v>
      </c>
    </row>
    <row r="4154" spans="1:12" x14ac:dyDescent="0.25">
      <c r="A4154" s="3" t="s">
        <v>10786</v>
      </c>
      <c r="B4154" s="4" t="s">
        <v>13070</v>
      </c>
      <c r="C4154" s="4" t="s">
        <v>14</v>
      </c>
      <c r="D4154" s="4" t="s">
        <v>15</v>
      </c>
      <c r="E4154" s="5" t="str">
        <f>"9390085"</f>
        <v>9390085</v>
      </c>
      <c r="F4154" s="3" t="s">
        <v>13202</v>
      </c>
      <c r="G4154" s="5">
        <v>2351027750</v>
      </c>
      <c r="H4154" s="4" t="s">
        <v>13203</v>
      </c>
      <c r="I4154" s="4" t="s">
        <v>13073</v>
      </c>
      <c r="J4154" s="4" t="s">
        <v>13204</v>
      </c>
      <c r="K4154" s="4" t="s">
        <v>13205</v>
      </c>
      <c r="L4154" s="5">
        <v>60100</v>
      </c>
    </row>
    <row r="4155" spans="1:12" x14ac:dyDescent="0.25">
      <c r="A4155" s="3" t="s">
        <v>10786</v>
      </c>
      <c r="B4155" s="4" t="s">
        <v>13070</v>
      </c>
      <c r="C4155" s="4" t="s">
        <v>25</v>
      </c>
      <c r="D4155" s="4" t="s">
        <v>26</v>
      </c>
      <c r="E4155" s="5" t="str">
        <f>"9390002"</f>
        <v>9390002</v>
      </c>
      <c r="F4155" s="3" t="s">
        <v>13206</v>
      </c>
      <c r="G4155" s="5">
        <v>2353022719</v>
      </c>
      <c r="H4155" s="4" t="s">
        <v>13207</v>
      </c>
      <c r="I4155" s="4" t="s">
        <v>13138</v>
      </c>
      <c r="J4155" s="4" t="s">
        <v>13169</v>
      </c>
      <c r="K4155" s="4" t="s">
        <v>13208</v>
      </c>
      <c r="L4155" s="5">
        <v>60300</v>
      </c>
    </row>
    <row r="4156" spans="1:12" x14ac:dyDescent="0.25">
      <c r="A4156" s="3" t="s">
        <v>10786</v>
      </c>
      <c r="B4156" s="4" t="s">
        <v>13070</v>
      </c>
      <c r="C4156" s="4" t="s">
        <v>14</v>
      </c>
      <c r="D4156" s="4" t="s">
        <v>15</v>
      </c>
      <c r="E4156" s="5" t="str">
        <f>"9390004"</f>
        <v>9390004</v>
      </c>
      <c r="F4156" s="3" t="s">
        <v>13209</v>
      </c>
      <c r="G4156" s="5">
        <v>2353022255</v>
      </c>
      <c r="H4156" s="4" t="s">
        <v>13210</v>
      </c>
      <c r="I4156" s="4" t="s">
        <v>13138</v>
      </c>
      <c r="J4156" s="4" t="s">
        <v>13169</v>
      </c>
      <c r="K4156" s="4" t="s">
        <v>13211</v>
      </c>
      <c r="L4156" s="5">
        <v>60300</v>
      </c>
    </row>
    <row r="4157" spans="1:12" x14ac:dyDescent="0.25">
      <c r="A4157" s="3" t="s">
        <v>10786</v>
      </c>
      <c r="B4157" s="4" t="s">
        <v>13070</v>
      </c>
      <c r="C4157" s="4" t="s">
        <v>14</v>
      </c>
      <c r="D4157" s="4" t="s">
        <v>15</v>
      </c>
      <c r="E4157" s="5" t="str">
        <f>"9390068"</f>
        <v>9390068</v>
      </c>
      <c r="F4157" s="3" t="s">
        <v>13212</v>
      </c>
      <c r="G4157" s="5">
        <v>2352031230</v>
      </c>
      <c r="H4157" s="4" t="s">
        <v>13213</v>
      </c>
      <c r="I4157" s="4" t="s">
        <v>13083</v>
      </c>
      <c r="J4157" s="4" t="s">
        <v>13084</v>
      </c>
      <c r="K4157" s="4" t="s">
        <v>13214</v>
      </c>
      <c r="L4157" s="5">
        <v>60063</v>
      </c>
    </row>
    <row r="4158" spans="1:12" x14ac:dyDescent="0.25">
      <c r="A4158" s="3" t="s">
        <v>10786</v>
      </c>
      <c r="B4158" s="4" t="s">
        <v>13070</v>
      </c>
      <c r="C4158" s="4" t="s">
        <v>14</v>
      </c>
      <c r="D4158" s="4" t="s">
        <v>15</v>
      </c>
      <c r="E4158" s="5" t="str">
        <f>"9390011"</f>
        <v>9390011</v>
      </c>
      <c r="F4158" s="3" t="s">
        <v>13215</v>
      </c>
      <c r="G4158" s="5">
        <v>2351504001</v>
      </c>
      <c r="H4158" s="4" t="s">
        <v>13216</v>
      </c>
      <c r="I4158" s="4" t="s">
        <v>13073</v>
      </c>
      <c r="J4158" s="4" t="s">
        <v>13074</v>
      </c>
      <c r="K4158" s="4" t="s">
        <v>13217</v>
      </c>
      <c r="L4158" s="5">
        <v>60132</v>
      </c>
    </row>
    <row r="4159" spans="1:12" x14ac:dyDescent="0.25">
      <c r="A4159" s="3" t="s">
        <v>10786</v>
      </c>
      <c r="B4159" s="4" t="s">
        <v>13070</v>
      </c>
      <c r="C4159" s="4" t="s">
        <v>25</v>
      </c>
      <c r="D4159" s="4" t="s">
        <v>26</v>
      </c>
      <c r="E4159" s="5" t="str">
        <f>"9390153"</f>
        <v>9390153</v>
      </c>
      <c r="F4159" s="3" t="s">
        <v>13218</v>
      </c>
      <c r="G4159" s="5">
        <v>2352082630</v>
      </c>
      <c r="H4159" s="4" t="s">
        <v>13219</v>
      </c>
      <c r="I4159" s="4" t="s">
        <v>13083</v>
      </c>
      <c r="J4159" s="4" t="s">
        <v>13186</v>
      </c>
      <c r="K4159" s="4" t="s">
        <v>13220</v>
      </c>
      <c r="L4159" s="5">
        <v>60200</v>
      </c>
    </row>
    <row r="4160" spans="1:12" x14ac:dyDescent="0.25">
      <c r="A4160" s="3" t="s">
        <v>10786</v>
      </c>
      <c r="B4160" s="4" t="s">
        <v>13070</v>
      </c>
      <c r="C4160" s="4" t="s">
        <v>14</v>
      </c>
      <c r="D4160" s="4" t="s">
        <v>15</v>
      </c>
      <c r="E4160" s="5" t="str">
        <f>"9390071"</f>
        <v>9390071</v>
      </c>
      <c r="F4160" s="3" t="s">
        <v>13221</v>
      </c>
      <c r="G4160" s="5">
        <v>2352081045</v>
      </c>
      <c r="H4160" s="4" t="s">
        <v>13222</v>
      </c>
      <c r="I4160" s="4" t="s">
        <v>13083</v>
      </c>
      <c r="J4160" s="4" t="s">
        <v>13186</v>
      </c>
      <c r="K4160" s="4" t="s">
        <v>13223</v>
      </c>
      <c r="L4160" s="5">
        <v>60200</v>
      </c>
    </row>
    <row r="4161" spans="1:12" x14ac:dyDescent="0.25">
      <c r="A4161" s="3" t="s">
        <v>10786</v>
      </c>
      <c r="B4161" s="4" t="s">
        <v>13070</v>
      </c>
      <c r="C4161" s="4" t="s">
        <v>14</v>
      </c>
      <c r="D4161" s="4" t="s">
        <v>15</v>
      </c>
      <c r="E4161" s="5" t="str">
        <f>"9390187"</f>
        <v>9390187</v>
      </c>
      <c r="F4161" s="3" t="s">
        <v>13224</v>
      </c>
      <c r="G4161" s="5">
        <v>2352084234</v>
      </c>
      <c r="H4161" s="4" t="s">
        <v>13225</v>
      </c>
      <c r="I4161" s="4" t="s">
        <v>13083</v>
      </c>
      <c r="J4161" s="4" t="s">
        <v>13186</v>
      </c>
      <c r="K4161" s="4" t="s">
        <v>13226</v>
      </c>
      <c r="L4161" s="5">
        <v>60200</v>
      </c>
    </row>
    <row r="4162" spans="1:12" x14ac:dyDescent="0.25">
      <c r="A4162" s="3" t="s">
        <v>10786</v>
      </c>
      <c r="B4162" s="4" t="s">
        <v>13070</v>
      </c>
      <c r="C4162" s="4" t="s">
        <v>14</v>
      </c>
      <c r="D4162" s="4" t="s">
        <v>15</v>
      </c>
      <c r="E4162" s="5" t="str">
        <f>"9390014"</f>
        <v>9390014</v>
      </c>
      <c r="F4162" s="3" t="s">
        <v>13227</v>
      </c>
      <c r="G4162" s="5">
        <v>2351023660</v>
      </c>
      <c r="H4162" s="4" t="s">
        <v>13228</v>
      </c>
      <c r="I4162" s="4" t="s">
        <v>13073</v>
      </c>
      <c r="J4162" s="4" t="s">
        <v>13074</v>
      </c>
      <c r="K4162" s="4" t="s">
        <v>13106</v>
      </c>
      <c r="L4162" s="5">
        <v>60133</v>
      </c>
    </row>
    <row r="4163" spans="1:12" x14ac:dyDescent="0.25">
      <c r="A4163" s="3" t="s">
        <v>10786</v>
      </c>
      <c r="B4163" s="4" t="s">
        <v>13070</v>
      </c>
      <c r="C4163" s="4" t="s">
        <v>14</v>
      </c>
      <c r="D4163" s="4" t="s">
        <v>15</v>
      </c>
      <c r="E4163" s="5" t="str">
        <f>"9390015"</f>
        <v>9390015</v>
      </c>
      <c r="F4163" s="3" t="s">
        <v>13229</v>
      </c>
      <c r="G4163" s="5">
        <v>2351029313</v>
      </c>
      <c r="H4163" s="4" t="s">
        <v>13230</v>
      </c>
      <c r="I4163" s="4" t="s">
        <v>13073</v>
      </c>
      <c r="J4163" s="4" t="s">
        <v>13074</v>
      </c>
      <c r="K4163" s="4" t="s">
        <v>13231</v>
      </c>
      <c r="L4163" s="5">
        <v>60134</v>
      </c>
    </row>
    <row r="4164" spans="1:12" x14ac:dyDescent="0.25">
      <c r="A4164" s="3" t="s">
        <v>10786</v>
      </c>
      <c r="B4164" s="4" t="s">
        <v>13070</v>
      </c>
      <c r="C4164" s="4" t="s">
        <v>14</v>
      </c>
      <c r="D4164" s="4" t="s">
        <v>15</v>
      </c>
      <c r="E4164" s="5" t="str">
        <f>"9390116"</f>
        <v>9390116</v>
      </c>
      <c r="F4164" s="3" t="s">
        <v>13232</v>
      </c>
      <c r="G4164" s="5">
        <v>2351061293</v>
      </c>
      <c r="H4164" s="4" t="s">
        <v>13233</v>
      </c>
      <c r="I4164" s="4" t="s">
        <v>13073</v>
      </c>
      <c r="J4164" s="4" t="s">
        <v>4660</v>
      </c>
      <c r="K4164" s="4" t="s">
        <v>13234</v>
      </c>
      <c r="L4164" s="5">
        <v>60150</v>
      </c>
    </row>
    <row r="4165" spans="1:12" x14ac:dyDescent="0.25">
      <c r="A4165" s="3" t="s">
        <v>10786</v>
      </c>
      <c r="B4165" s="4" t="s">
        <v>13070</v>
      </c>
      <c r="C4165" s="4" t="s">
        <v>14</v>
      </c>
      <c r="D4165" s="4" t="s">
        <v>15</v>
      </c>
      <c r="E4165" s="5" t="str">
        <f>"9390062"</f>
        <v>9390062</v>
      </c>
      <c r="F4165" s="3" t="s">
        <v>13235</v>
      </c>
      <c r="G4165" s="5">
        <v>2351055206</v>
      </c>
      <c r="H4165" s="4" t="s">
        <v>13236</v>
      </c>
      <c r="I4165" s="4" t="s">
        <v>13083</v>
      </c>
      <c r="J4165" s="4" t="s">
        <v>13160</v>
      </c>
      <c r="K4165" s="4" t="s">
        <v>13237</v>
      </c>
      <c r="L4165" s="5">
        <v>60100</v>
      </c>
    </row>
    <row r="4166" spans="1:12" x14ac:dyDescent="0.25">
      <c r="A4166" s="3" t="s">
        <v>10786</v>
      </c>
      <c r="B4166" s="4" t="s">
        <v>13070</v>
      </c>
      <c r="C4166" s="4" t="s">
        <v>14</v>
      </c>
      <c r="D4166" s="4" t="s">
        <v>15</v>
      </c>
      <c r="E4166" s="5" t="str">
        <f>"9390053"</f>
        <v>9390053</v>
      </c>
      <c r="F4166" s="3" t="s">
        <v>13238</v>
      </c>
      <c r="G4166" s="5">
        <v>2351024683</v>
      </c>
      <c r="H4166" s="4" t="s">
        <v>13239</v>
      </c>
      <c r="I4166" s="4" t="s">
        <v>13073</v>
      </c>
      <c r="J4166" s="4" t="s">
        <v>13074</v>
      </c>
      <c r="K4166" s="4" t="s">
        <v>13240</v>
      </c>
      <c r="L4166" s="5">
        <v>60100</v>
      </c>
    </row>
    <row r="4167" spans="1:12" x14ac:dyDescent="0.25">
      <c r="A4167" s="3" t="s">
        <v>10786</v>
      </c>
      <c r="B4167" s="4" t="s">
        <v>13070</v>
      </c>
      <c r="C4167" s="4" t="s">
        <v>14</v>
      </c>
      <c r="D4167" s="4" t="s">
        <v>15</v>
      </c>
      <c r="E4167" s="5" t="str">
        <f>"9390101"</f>
        <v>9390101</v>
      </c>
      <c r="F4167" s="3" t="s">
        <v>13241</v>
      </c>
      <c r="G4167" s="5">
        <v>2351504043</v>
      </c>
      <c r="H4167" s="4" t="s">
        <v>13242</v>
      </c>
      <c r="I4167" s="4" t="s">
        <v>13073</v>
      </c>
      <c r="J4167" s="4" t="s">
        <v>13074</v>
      </c>
      <c r="K4167" s="4" t="s">
        <v>13190</v>
      </c>
      <c r="L4167" s="5">
        <v>60100</v>
      </c>
    </row>
    <row r="4168" spans="1:12" x14ac:dyDescent="0.25">
      <c r="A4168" s="3" t="s">
        <v>10786</v>
      </c>
      <c r="B4168" s="4" t="s">
        <v>13070</v>
      </c>
      <c r="C4168" s="4" t="s">
        <v>14</v>
      </c>
      <c r="D4168" s="4" t="s">
        <v>15</v>
      </c>
      <c r="E4168" s="5" t="str">
        <f>"9390075"</f>
        <v>9390075</v>
      </c>
      <c r="F4168" s="3" t="s">
        <v>13243</v>
      </c>
      <c r="G4168" s="5">
        <v>2351053201</v>
      </c>
      <c r="H4168" s="4" t="s">
        <v>13244</v>
      </c>
      <c r="I4168" s="4" t="s">
        <v>13083</v>
      </c>
      <c r="J4168" s="4" t="s">
        <v>13245</v>
      </c>
      <c r="K4168" s="4" t="s">
        <v>13246</v>
      </c>
      <c r="L4168" s="5">
        <v>60100</v>
      </c>
    </row>
    <row r="4169" spans="1:12" x14ac:dyDescent="0.25">
      <c r="A4169" s="3" t="s">
        <v>10786</v>
      </c>
      <c r="B4169" s="4" t="s">
        <v>13070</v>
      </c>
      <c r="C4169" s="4" t="s">
        <v>14</v>
      </c>
      <c r="D4169" s="4" t="s">
        <v>15</v>
      </c>
      <c r="E4169" s="5" t="str">
        <f>"9390170"</f>
        <v>9390170</v>
      </c>
      <c r="F4169" s="3" t="s">
        <v>13247</v>
      </c>
      <c r="G4169" s="5">
        <v>2351034154</v>
      </c>
      <c r="H4169" s="4" t="s">
        <v>13248</v>
      </c>
      <c r="I4169" s="4" t="s">
        <v>13073</v>
      </c>
      <c r="J4169" s="4" t="s">
        <v>13074</v>
      </c>
      <c r="K4169" s="4" t="s">
        <v>13183</v>
      </c>
      <c r="L4169" s="5">
        <v>60133</v>
      </c>
    </row>
    <row r="4170" spans="1:12" x14ac:dyDescent="0.25">
      <c r="A4170" s="3" t="s">
        <v>10786</v>
      </c>
      <c r="B4170" s="4" t="s">
        <v>13070</v>
      </c>
      <c r="C4170" s="4" t="s">
        <v>14</v>
      </c>
      <c r="D4170" s="4" t="s">
        <v>15</v>
      </c>
      <c r="E4170" s="5" t="str">
        <f>"9390064"</f>
        <v>9390064</v>
      </c>
      <c r="F4170" s="3" t="s">
        <v>13249</v>
      </c>
      <c r="G4170" s="5">
        <v>2351053203</v>
      </c>
      <c r="H4170" s="4" t="s">
        <v>13250</v>
      </c>
      <c r="I4170" s="4" t="s">
        <v>13083</v>
      </c>
      <c r="J4170" s="4" t="s">
        <v>13251</v>
      </c>
      <c r="K4170" s="4" t="s">
        <v>13252</v>
      </c>
      <c r="L4170" s="5">
        <v>60100</v>
      </c>
    </row>
    <row r="4171" spans="1:12" x14ac:dyDescent="0.25">
      <c r="A4171" s="3" t="s">
        <v>10786</v>
      </c>
      <c r="B4171" s="4" t="s">
        <v>13070</v>
      </c>
      <c r="C4171" s="4" t="s">
        <v>14</v>
      </c>
      <c r="D4171" s="4" t="s">
        <v>15</v>
      </c>
      <c r="E4171" s="5" t="str">
        <f>"9390090"</f>
        <v>9390090</v>
      </c>
      <c r="F4171" s="3" t="s">
        <v>13253</v>
      </c>
      <c r="G4171" s="5">
        <v>2352041314</v>
      </c>
      <c r="H4171" s="4" t="s">
        <v>13254</v>
      </c>
      <c r="I4171" s="4" t="s">
        <v>13083</v>
      </c>
      <c r="J4171" s="4" t="s">
        <v>13255</v>
      </c>
      <c r="K4171" s="4" t="s">
        <v>13097</v>
      </c>
      <c r="L4171" s="5">
        <v>60065</v>
      </c>
    </row>
    <row r="4172" spans="1:12" x14ac:dyDescent="0.25">
      <c r="A4172" s="3" t="s">
        <v>10786</v>
      </c>
      <c r="B4172" s="4" t="s">
        <v>13070</v>
      </c>
      <c r="C4172" s="4" t="s">
        <v>14</v>
      </c>
      <c r="D4172" s="4" t="s">
        <v>15</v>
      </c>
      <c r="E4172" s="5" t="str">
        <f>"9390079"</f>
        <v>9390079</v>
      </c>
      <c r="F4172" s="3" t="s">
        <v>13256</v>
      </c>
      <c r="G4172" s="5">
        <v>2351051251</v>
      </c>
      <c r="H4172" s="4" t="s">
        <v>13257</v>
      </c>
      <c r="I4172" s="4" t="s">
        <v>13083</v>
      </c>
      <c r="J4172" s="4" t="s">
        <v>13258</v>
      </c>
      <c r="K4172" s="4" t="s">
        <v>13259</v>
      </c>
      <c r="L4172" s="5">
        <v>60100</v>
      </c>
    </row>
    <row r="4173" spans="1:12" x14ac:dyDescent="0.25">
      <c r="A4173" s="3" t="s">
        <v>10786</v>
      </c>
      <c r="B4173" s="4" t="s">
        <v>13070</v>
      </c>
      <c r="C4173" s="4" t="s">
        <v>14</v>
      </c>
      <c r="D4173" s="4" t="s">
        <v>15</v>
      </c>
      <c r="E4173" s="5" t="str">
        <f>"9390132"</f>
        <v>9390132</v>
      </c>
      <c r="F4173" s="3" t="s">
        <v>13260</v>
      </c>
      <c r="G4173" s="5">
        <v>2351024911</v>
      </c>
      <c r="H4173" s="4" t="s">
        <v>13261</v>
      </c>
      <c r="I4173" s="4" t="s">
        <v>13073</v>
      </c>
      <c r="J4173" s="4" t="s">
        <v>13262</v>
      </c>
      <c r="K4173" s="4" t="s">
        <v>13263</v>
      </c>
      <c r="L4173" s="5">
        <v>60100</v>
      </c>
    </row>
    <row r="4174" spans="1:12" x14ac:dyDescent="0.25">
      <c r="A4174" s="3" t="s">
        <v>10786</v>
      </c>
      <c r="B4174" s="4" t="s">
        <v>13070</v>
      </c>
      <c r="C4174" s="4" t="s">
        <v>14</v>
      </c>
      <c r="D4174" s="4" t="s">
        <v>15</v>
      </c>
      <c r="E4174" s="5" t="str">
        <f>"9390065"</f>
        <v>9390065</v>
      </c>
      <c r="F4174" s="3" t="s">
        <v>13264</v>
      </c>
      <c r="G4174" s="5">
        <v>2351051516</v>
      </c>
      <c r="H4174" s="4" t="s">
        <v>13265</v>
      </c>
      <c r="I4174" s="4" t="s">
        <v>13083</v>
      </c>
      <c r="J4174" s="4" t="s">
        <v>13266</v>
      </c>
      <c r="K4174" s="4" t="s">
        <v>13267</v>
      </c>
      <c r="L4174" s="5">
        <v>60100</v>
      </c>
    </row>
    <row r="4175" spans="1:12" x14ac:dyDescent="0.25">
      <c r="A4175" s="3" t="s">
        <v>10786</v>
      </c>
      <c r="B4175" s="4" t="s">
        <v>13070</v>
      </c>
      <c r="C4175" s="4" t="s">
        <v>14</v>
      </c>
      <c r="D4175" s="4" t="s">
        <v>15</v>
      </c>
      <c r="E4175" s="5" t="str">
        <f>"9390087"</f>
        <v>9390087</v>
      </c>
      <c r="F4175" s="3" t="s">
        <v>13268</v>
      </c>
      <c r="G4175" s="5">
        <v>2351030238</v>
      </c>
      <c r="H4175" s="4" t="s">
        <v>13269</v>
      </c>
      <c r="I4175" s="4" t="s">
        <v>13073</v>
      </c>
      <c r="J4175" s="4" t="s">
        <v>13270</v>
      </c>
      <c r="K4175" s="4" t="s">
        <v>13271</v>
      </c>
      <c r="L4175" s="5">
        <v>60100</v>
      </c>
    </row>
    <row r="4176" spans="1:12" x14ac:dyDescent="0.25">
      <c r="A4176" s="3" t="s">
        <v>10786</v>
      </c>
      <c r="B4176" s="4" t="s">
        <v>13070</v>
      </c>
      <c r="C4176" s="4" t="s">
        <v>14</v>
      </c>
      <c r="D4176" s="4" t="s">
        <v>15</v>
      </c>
      <c r="E4176" s="5" t="str">
        <f>"9390120"</f>
        <v>9390120</v>
      </c>
      <c r="F4176" s="3" t="s">
        <v>13272</v>
      </c>
      <c r="G4176" s="5">
        <v>2351042437</v>
      </c>
      <c r="H4176" s="4" t="s">
        <v>13273</v>
      </c>
      <c r="I4176" s="4" t="s">
        <v>13073</v>
      </c>
      <c r="J4176" s="4" t="s">
        <v>13121</v>
      </c>
      <c r="K4176" s="4" t="s">
        <v>13274</v>
      </c>
      <c r="L4176" s="5">
        <v>60062</v>
      </c>
    </row>
    <row r="4177" spans="1:12" x14ac:dyDescent="0.25">
      <c r="A4177" s="3" t="s">
        <v>10786</v>
      </c>
      <c r="B4177" s="4" t="s">
        <v>13070</v>
      </c>
      <c r="C4177" s="4" t="s">
        <v>25</v>
      </c>
      <c r="D4177" s="4" t="s">
        <v>26</v>
      </c>
      <c r="E4177" s="5" t="str">
        <f>"9521147"</f>
        <v>9521147</v>
      </c>
      <c r="F4177" s="3" t="s">
        <v>13275</v>
      </c>
      <c r="G4177" s="5">
        <v>2351047858</v>
      </c>
      <c r="H4177" s="4" t="s">
        <v>13276</v>
      </c>
      <c r="I4177" s="4" t="s">
        <v>13073</v>
      </c>
      <c r="J4177" s="4" t="s">
        <v>13074</v>
      </c>
      <c r="K4177" s="4" t="s">
        <v>13152</v>
      </c>
      <c r="L4177" s="5">
        <v>60100</v>
      </c>
    </row>
    <row r="4178" spans="1:12" x14ac:dyDescent="0.25">
      <c r="A4178" s="3" t="s">
        <v>10786</v>
      </c>
      <c r="B4178" s="4" t="s">
        <v>13070</v>
      </c>
      <c r="C4178" s="4" t="s">
        <v>14</v>
      </c>
      <c r="D4178" s="4" t="s">
        <v>15</v>
      </c>
      <c r="E4178" s="5" t="str">
        <f>"9521615"</f>
        <v>9521615</v>
      </c>
      <c r="F4178" s="3" t="s">
        <v>13277</v>
      </c>
      <c r="G4178" s="5">
        <v>2351045417</v>
      </c>
      <c r="H4178" s="4" t="s">
        <v>13278</v>
      </c>
      <c r="I4178" s="4" t="s">
        <v>13073</v>
      </c>
      <c r="J4178" s="4" t="s">
        <v>13074</v>
      </c>
      <c r="K4178" s="4" t="s">
        <v>13279</v>
      </c>
      <c r="L4178" s="5">
        <v>60133</v>
      </c>
    </row>
    <row r="4179" spans="1:12" x14ac:dyDescent="0.25">
      <c r="A4179" s="3" t="s">
        <v>10786</v>
      </c>
      <c r="B4179" s="4" t="s">
        <v>13070</v>
      </c>
      <c r="C4179" s="4" t="s">
        <v>25</v>
      </c>
      <c r="D4179" s="4" t="s">
        <v>26</v>
      </c>
      <c r="E4179" s="5" t="str">
        <f>"9521635"</f>
        <v>9521635</v>
      </c>
      <c r="F4179" s="3" t="s">
        <v>13280</v>
      </c>
      <c r="G4179" s="5">
        <v>2351035622</v>
      </c>
      <c r="H4179" s="4" t="s">
        <v>13281</v>
      </c>
      <c r="I4179" s="4" t="s">
        <v>13073</v>
      </c>
      <c r="J4179" s="4" t="s">
        <v>13073</v>
      </c>
      <c r="K4179" s="4" t="s">
        <v>13282</v>
      </c>
      <c r="L4179" s="5">
        <v>60133</v>
      </c>
    </row>
    <row r="4180" spans="1:12" x14ac:dyDescent="0.25">
      <c r="A4180" s="3" t="s">
        <v>10786</v>
      </c>
      <c r="B4180" s="4" t="s">
        <v>13070</v>
      </c>
      <c r="C4180" s="4" t="s">
        <v>14</v>
      </c>
      <c r="D4180" s="4" t="s">
        <v>15</v>
      </c>
      <c r="E4180" s="5" t="str">
        <f>"9521706"</f>
        <v>9521706</v>
      </c>
      <c r="F4180" s="3" t="s">
        <v>13283</v>
      </c>
      <c r="G4180" s="5">
        <v>2351046255</v>
      </c>
      <c r="H4180" s="4" t="s">
        <v>13284</v>
      </c>
      <c r="I4180" s="4" t="s">
        <v>13073</v>
      </c>
      <c r="J4180" s="4" t="s">
        <v>13130</v>
      </c>
      <c r="K4180" s="4" t="s">
        <v>13285</v>
      </c>
      <c r="L4180" s="5">
        <v>60134</v>
      </c>
    </row>
    <row r="4181" spans="1:12" x14ac:dyDescent="0.25">
      <c r="A4181" s="3" t="s">
        <v>10786</v>
      </c>
      <c r="B4181" s="4" t="s">
        <v>13070</v>
      </c>
      <c r="C4181" s="4" t="s">
        <v>14</v>
      </c>
      <c r="D4181" s="4" t="s">
        <v>15</v>
      </c>
      <c r="E4181" s="5" t="str">
        <f>"9521707"</f>
        <v>9521707</v>
      </c>
      <c r="F4181" s="3" t="s">
        <v>13286</v>
      </c>
      <c r="G4181" s="5">
        <v>2351046050</v>
      </c>
      <c r="H4181" s="4" t="s">
        <v>13287</v>
      </c>
      <c r="I4181" s="4" t="s">
        <v>13073</v>
      </c>
      <c r="J4181" s="4" t="s">
        <v>13074</v>
      </c>
      <c r="K4181" s="4" t="s">
        <v>13288</v>
      </c>
      <c r="L4181" s="5">
        <v>60131</v>
      </c>
    </row>
    <row r="4182" spans="1:12" x14ac:dyDescent="0.25">
      <c r="A4182" s="3" t="s">
        <v>10786</v>
      </c>
      <c r="B4182" s="4" t="s">
        <v>13070</v>
      </c>
      <c r="C4182" s="4" t="s">
        <v>14</v>
      </c>
      <c r="D4182" s="4" t="s">
        <v>15</v>
      </c>
      <c r="E4182" s="5" t="str">
        <f>"9521710"</f>
        <v>9521710</v>
      </c>
      <c r="F4182" s="3" t="s">
        <v>13289</v>
      </c>
      <c r="G4182" s="5">
        <v>2351045582</v>
      </c>
      <c r="H4182" s="4" t="s">
        <v>13290</v>
      </c>
      <c r="I4182" s="4" t="s">
        <v>13073</v>
      </c>
      <c r="J4182" s="4" t="s">
        <v>13074</v>
      </c>
      <c r="K4182" s="4" t="s">
        <v>13291</v>
      </c>
      <c r="L4182" s="5">
        <v>60134</v>
      </c>
    </row>
    <row r="4183" spans="1:12" x14ac:dyDescent="0.25">
      <c r="A4183" s="3" t="s">
        <v>10786</v>
      </c>
      <c r="B4183" s="4" t="s">
        <v>13292</v>
      </c>
      <c r="C4183" s="4" t="s">
        <v>25</v>
      </c>
      <c r="D4183" s="4" t="s">
        <v>26</v>
      </c>
      <c r="E4183" s="5" t="str">
        <f>"9520613"</f>
        <v>9520613</v>
      </c>
      <c r="F4183" s="3" t="s">
        <v>13293</v>
      </c>
      <c r="G4183" s="5">
        <v>2321046507</v>
      </c>
      <c r="H4183" s="4" t="s">
        <v>13294</v>
      </c>
      <c r="I4183" s="4" t="s">
        <v>13295</v>
      </c>
      <c r="J4183" s="4" t="s">
        <v>13295</v>
      </c>
      <c r="K4183" s="4" t="s">
        <v>13296</v>
      </c>
      <c r="L4183" s="5">
        <v>62124</v>
      </c>
    </row>
    <row r="4184" spans="1:12" x14ac:dyDescent="0.25">
      <c r="A4184" s="3" t="s">
        <v>10786</v>
      </c>
      <c r="B4184" s="4" t="s">
        <v>13292</v>
      </c>
      <c r="C4184" s="4" t="s">
        <v>14</v>
      </c>
      <c r="D4184" s="4" t="s">
        <v>15</v>
      </c>
      <c r="E4184" s="5" t="str">
        <f>"9520755"</f>
        <v>9520755</v>
      </c>
      <c r="F4184" s="3" t="s">
        <v>13297</v>
      </c>
      <c r="G4184" s="5">
        <v>2321022114</v>
      </c>
      <c r="H4184" s="4" t="s">
        <v>13298</v>
      </c>
      <c r="I4184" s="4" t="s">
        <v>13295</v>
      </c>
      <c r="J4184" s="4" t="s">
        <v>13299</v>
      </c>
      <c r="K4184" s="4" t="s">
        <v>13300</v>
      </c>
      <c r="L4184" s="5">
        <v>62121</v>
      </c>
    </row>
    <row r="4185" spans="1:12" x14ac:dyDescent="0.25">
      <c r="A4185" s="3" t="s">
        <v>10786</v>
      </c>
      <c r="B4185" s="4" t="s">
        <v>13292</v>
      </c>
      <c r="C4185" s="4" t="s">
        <v>25</v>
      </c>
      <c r="D4185" s="4" t="s">
        <v>26</v>
      </c>
      <c r="E4185" s="5" t="str">
        <f>"9440357"</f>
        <v>9440357</v>
      </c>
      <c r="F4185" s="3" t="s">
        <v>13301</v>
      </c>
      <c r="G4185" s="5">
        <v>2321023238</v>
      </c>
      <c r="H4185" s="4" t="s">
        <v>13302</v>
      </c>
      <c r="I4185" s="4" t="s">
        <v>13295</v>
      </c>
      <c r="J4185" s="4" t="s">
        <v>13295</v>
      </c>
      <c r="K4185" s="4" t="s">
        <v>13303</v>
      </c>
      <c r="L4185" s="5">
        <v>62125</v>
      </c>
    </row>
    <row r="4186" spans="1:12" x14ac:dyDescent="0.25">
      <c r="A4186" s="3" t="s">
        <v>10786</v>
      </c>
      <c r="B4186" s="4" t="s">
        <v>13292</v>
      </c>
      <c r="C4186" s="4" t="s">
        <v>14</v>
      </c>
      <c r="D4186" s="4" t="s">
        <v>15</v>
      </c>
      <c r="E4186" s="5" t="str">
        <f>"9440152"</f>
        <v>9440152</v>
      </c>
      <c r="F4186" s="3" t="s">
        <v>13304</v>
      </c>
      <c r="G4186" s="5">
        <v>2321035797</v>
      </c>
      <c r="H4186" s="4" t="s">
        <v>13305</v>
      </c>
      <c r="I4186" s="4" t="s">
        <v>13295</v>
      </c>
      <c r="J4186" s="4" t="s">
        <v>13306</v>
      </c>
      <c r="K4186" s="4" t="s">
        <v>13307</v>
      </c>
      <c r="L4186" s="5">
        <v>62123</v>
      </c>
    </row>
    <row r="4187" spans="1:12" x14ac:dyDescent="0.25">
      <c r="A4187" s="3" t="s">
        <v>10786</v>
      </c>
      <c r="B4187" s="4" t="s">
        <v>13292</v>
      </c>
      <c r="C4187" s="4" t="s">
        <v>25</v>
      </c>
      <c r="D4187" s="4" t="s">
        <v>26</v>
      </c>
      <c r="E4187" s="5" t="str">
        <f>"9440173"</f>
        <v>9440173</v>
      </c>
      <c r="F4187" s="3" t="s">
        <v>13308</v>
      </c>
      <c r="G4187" s="5">
        <v>2321050353</v>
      </c>
      <c r="H4187" s="4" t="s">
        <v>13309</v>
      </c>
      <c r="I4187" s="4" t="s">
        <v>13295</v>
      </c>
      <c r="J4187" s="4" t="s">
        <v>13310</v>
      </c>
      <c r="K4187" s="4" t="s">
        <v>13311</v>
      </c>
      <c r="L4187" s="5">
        <v>62121</v>
      </c>
    </row>
    <row r="4188" spans="1:12" x14ac:dyDescent="0.25">
      <c r="A4188" s="3" t="s">
        <v>10786</v>
      </c>
      <c r="B4188" s="4" t="s">
        <v>13292</v>
      </c>
      <c r="C4188" s="4" t="s">
        <v>14</v>
      </c>
      <c r="D4188" s="4" t="s">
        <v>15</v>
      </c>
      <c r="E4188" s="5" t="str">
        <f>"9440146"</f>
        <v>9440146</v>
      </c>
      <c r="F4188" s="3" t="s">
        <v>13312</v>
      </c>
      <c r="G4188" s="5">
        <v>2321022114</v>
      </c>
      <c r="H4188" s="4" t="s">
        <v>13313</v>
      </c>
      <c r="I4188" s="4" t="s">
        <v>13295</v>
      </c>
      <c r="J4188" s="4" t="s">
        <v>13306</v>
      </c>
      <c r="K4188" s="4" t="s">
        <v>13314</v>
      </c>
      <c r="L4188" s="5">
        <v>62121</v>
      </c>
    </row>
    <row r="4189" spans="1:12" x14ac:dyDescent="0.25">
      <c r="A4189" s="3" t="s">
        <v>10786</v>
      </c>
      <c r="B4189" s="4" t="s">
        <v>13292</v>
      </c>
      <c r="C4189" s="4" t="s">
        <v>14</v>
      </c>
      <c r="D4189" s="4" t="s">
        <v>15</v>
      </c>
      <c r="E4189" s="5" t="str">
        <f>"9440087"</f>
        <v>9440087</v>
      </c>
      <c r="F4189" s="3" t="s">
        <v>13315</v>
      </c>
      <c r="G4189" s="5">
        <v>2321020903</v>
      </c>
      <c r="H4189" s="4" t="s">
        <v>13316</v>
      </c>
      <c r="I4189" s="4" t="s">
        <v>13295</v>
      </c>
      <c r="J4189" s="4" t="s">
        <v>13306</v>
      </c>
      <c r="K4189" s="4" t="s">
        <v>13317</v>
      </c>
      <c r="L4189" s="5">
        <v>62122</v>
      </c>
    </row>
    <row r="4190" spans="1:12" x14ac:dyDescent="0.25">
      <c r="A4190" s="3" t="s">
        <v>10786</v>
      </c>
      <c r="B4190" s="4" t="s">
        <v>13292</v>
      </c>
      <c r="C4190" s="4" t="s">
        <v>25</v>
      </c>
      <c r="D4190" s="4" t="s">
        <v>26</v>
      </c>
      <c r="E4190" s="5" t="str">
        <f>"9440143"</f>
        <v>9440143</v>
      </c>
      <c r="F4190" s="3" t="s">
        <v>13318</v>
      </c>
      <c r="G4190" s="5">
        <v>2321351060</v>
      </c>
      <c r="H4190" s="4" t="s">
        <v>13319</v>
      </c>
      <c r="I4190" s="4" t="s">
        <v>13295</v>
      </c>
      <c r="J4190" s="4" t="s">
        <v>13295</v>
      </c>
      <c r="K4190" s="4" t="s">
        <v>13320</v>
      </c>
      <c r="L4190" s="5">
        <v>62121</v>
      </c>
    </row>
    <row r="4191" spans="1:12" x14ac:dyDescent="0.25">
      <c r="A4191" s="3" t="s">
        <v>10786</v>
      </c>
      <c r="B4191" s="4" t="s">
        <v>13292</v>
      </c>
      <c r="C4191" s="4" t="s">
        <v>14</v>
      </c>
      <c r="D4191" s="4" t="s">
        <v>15</v>
      </c>
      <c r="E4191" s="5" t="str">
        <f>"9440394"</f>
        <v>9440394</v>
      </c>
      <c r="F4191" s="3" t="s">
        <v>13321</v>
      </c>
      <c r="G4191" s="5">
        <v>2321036769</v>
      </c>
      <c r="H4191" s="4" t="s">
        <v>13322</v>
      </c>
      <c r="I4191" s="4" t="s">
        <v>13295</v>
      </c>
      <c r="J4191" s="4" t="s">
        <v>13306</v>
      </c>
      <c r="K4191" s="4" t="s">
        <v>13323</v>
      </c>
      <c r="L4191" s="5">
        <v>62123</v>
      </c>
    </row>
    <row r="4192" spans="1:12" x14ac:dyDescent="0.25">
      <c r="A4192" s="3" t="s">
        <v>10786</v>
      </c>
      <c r="B4192" s="4" t="s">
        <v>13292</v>
      </c>
      <c r="C4192" s="4" t="s">
        <v>25</v>
      </c>
      <c r="D4192" s="4" t="s">
        <v>26</v>
      </c>
      <c r="E4192" s="5" t="str">
        <f>"9440074"</f>
        <v>9440074</v>
      </c>
      <c r="F4192" s="3" t="s">
        <v>13324</v>
      </c>
      <c r="G4192" s="5">
        <v>2321035913</v>
      </c>
      <c r="H4192" s="4" t="s">
        <v>13325</v>
      </c>
      <c r="I4192" s="4" t="s">
        <v>13295</v>
      </c>
      <c r="J4192" s="4" t="s">
        <v>13295</v>
      </c>
      <c r="K4192" s="4" t="s">
        <v>13326</v>
      </c>
      <c r="L4192" s="5">
        <v>62124</v>
      </c>
    </row>
    <row r="4193" spans="1:12" x14ac:dyDescent="0.25">
      <c r="A4193" s="3" t="s">
        <v>10786</v>
      </c>
      <c r="B4193" s="4" t="s">
        <v>13292</v>
      </c>
      <c r="C4193" s="4" t="s">
        <v>25</v>
      </c>
      <c r="D4193" s="4" t="s">
        <v>26</v>
      </c>
      <c r="E4193" s="5" t="str">
        <f>"9440142"</f>
        <v>9440142</v>
      </c>
      <c r="F4193" s="3" t="s">
        <v>13327</v>
      </c>
      <c r="G4193" s="5">
        <v>2321054417</v>
      </c>
      <c r="H4193" s="4" t="s">
        <v>13328</v>
      </c>
      <c r="I4193" s="4" t="s">
        <v>13295</v>
      </c>
      <c r="J4193" s="4" t="s">
        <v>13295</v>
      </c>
      <c r="K4193" s="4" t="s">
        <v>13303</v>
      </c>
      <c r="L4193" s="5">
        <v>62121</v>
      </c>
    </row>
    <row r="4194" spans="1:12" x14ac:dyDescent="0.25">
      <c r="A4194" s="3" t="s">
        <v>10786</v>
      </c>
      <c r="B4194" s="4" t="s">
        <v>13292</v>
      </c>
      <c r="C4194" s="4" t="s">
        <v>25</v>
      </c>
      <c r="D4194" s="4" t="s">
        <v>26</v>
      </c>
      <c r="E4194" s="5" t="str">
        <f>"9440358"</f>
        <v>9440358</v>
      </c>
      <c r="F4194" s="3" t="s">
        <v>13329</v>
      </c>
      <c r="G4194" s="5">
        <v>2321021468</v>
      </c>
      <c r="H4194" s="4" t="s">
        <v>13330</v>
      </c>
      <c r="I4194" s="4" t="s">
        <v>13295</v>
      </c>
      <c r="J4194" s="4" t="s">
        <v>13295</v>
      </c>
      <c r="K4194" s="4" t="s">
        <v>13331</v>
      </c>
      <c r="L4194" s="5">
        <v>62121</v>
      </c>
    </row>
    <row r="4195" spans="1:12" x14ac:dyDescent="0.25">
      <c r="A4195" s="3" t="s">
        <v>10786</v>
      </c>
      <c r="B4195" s="4" t="s">
        <v>13292</v>
      </c>
      <c r="C4195" s="4" t="s">
        <v>25</v>
      </c>
      <c r="D4195" s="4" t="s">
        <v>26</v>
      </c>
      <c r="E4195" s="5" t="str">
        <f>"9440373"</f>
        <v>9440373</v>
      </c>
      <c r="F4195" s="3" t="s">
        <v>13332</v>
      </c>
      <c r="G4195" s="5">
        <v>2321046149</v>
      </c>
      <c r="H4195" s="4" t="s">
        <v>13333</v>
      </c>
      <c r="I4195" s="4" t="s">
        <v>13295</v>
      </c>
      <c r="J4195" s="4" t="s">
        <v>13295</v>
      </c>
      <c r="K4195" s="4" t="s">
        <v>13334</v>
      </c>
      <c r="L4195" s="5">
        <v>62125</v>
      </c>
    </row>
    <row r="4196" spans="1:12" x14ac:dyDescent="0.25">
      <c r="A4196" s="3" t="s">
        <v>10786</v>
      </c>
      <c r="B4196" s="4" t="s">
        <v>13292</v>
      </c>
      <c r="C4196" s="4" t="s">
        <v>14</v>
      </c>
      <c r="D4196" s="4" t="s">
        <v>15</v>
      </c>
      <c r="E4196" s="5" t="str">
        <f>"9440081"</f>
        <v>9440081</v>
      </c>
      <c r="F4196" s="3" t="s">
        <v>13335</v>
      </c>
      <c r="G4196" s="5">
        <v>2321064117</v>
      </c>
      <c r="H4196" s="4" t="s">
        <v>13336</v>
      </c>
      <c r="I4196" s="4" t="s">
        <v>13295</v>
      </c>
      <c r="J4196" s="4" t="s">
        <v>13306</v>
      </c>
      <c r="K4196" s="4" t="s">
        <v>13337</v>
      </c>
      <c r="L4196" s="5">
        <v>62122</v>
      </c>
    </row>
    <row r="4197" spans="1:12" x14ac:dyDescent="0.25">
      <c r="A4197" s="3" t="s">
        <v>10786</v>
      </c>
      <c r="B4197" s="4" t="s">
        <v>13292</v>
      </c>
      <c r="C4197" s="4" t="s">
        <v>14</v>
      </c>
      <c r="D4197" s="4" t="s">
        <v>15</v>
      </c>
      <c r="E4197" s="5" t="str">
        <f>"9440075"</f>
        <v>9440075</v>
      </c>
      <c r="F4197" s="3" t="s">
        <v>13338</v>
      </c>
      <c r="G4197" s="5">
        <v>2321037524</v>
      </c>
      <c r="H4197" s="4" t="s">
        <v>13339</v>
      </c>
      <c r="I4197" s="4" t="s">
        <v>13295</v>
      </c>
      <c r="J4197" s="4" t="s">
        <v>13306</v>
      </c>
      <c r="K4197" s="4" t="s">
        <v>13340</v>
      </c>
      <c r="L4197" s="5">
        <v>62124</v>
      </c>
    </row>
    <row r="4198" spans="1:12" x14ac:dyDescent="0.25">
      <c r="A4198" s="3" t="s">
        <v>10786</v>
      </c>
      <c r="B4198" s="4" t="s">
        <v>13292</v>
      </c>
      <c r="C4198" s="4" t="s">
        <v>14</v>
      </c>
      <c r="D4198" s="4" t="s">
        <v>15</v>
      </c>
      <c r="E4198" s="5" t="str">
        <f>"9440174"</f>
        <v>9440174</v>
      </c>
      <c r="F4198" s="3" t="s">
        <v>13341</v>
      </c>
      <c r="G4198" s="5">
        <v>2321050586</v>
      </c>
      <c r="H4198" s="4" t="s">
        <v>13342</v>
      </c>
      <c r="I4198" s="4" t="s">
        <v>13295</v>
      </c>
      <c r="J4198" s="4" t="s">
        <v>13343</v>
      </c>
      <c r="K4198" s="4" t="s">
        <v>13344</v>
      </c>
      <c r="L4198" s="5">
        <v>62100</v>
      </c>
    </row>
    <row r="4199" spans="1:12" x14ac:dyDescent="0.25">
      <c r="A4199" s="3" t="s">
        <v>10786</v>
      </c>
      <c r="B4199" s="4" t="s">
        <v>13292</v>
      </c>
      <c r="C4199" s="4" t="s">
        <v>25</v>
      </c>
      <c r="D4199" s="4" t="s">
        <v>26</v>
      </c>
      <c r="E4199" s="5" t="str">
        <f>"9440396"</f>
        <v>9440396</v>
      </c>
      <c r="F4199" s="3" t="s">
        <v>13345</v>
      </c>
      <c r="G4199" s="5">
        <v>2321035821</v>
      </c>
      <c r="H4199" s="4" t="s">
        <v>13346</v>
      </c>
      <c r="I4199" s="4" t="s">
        <v>13295</v>
      </c>
      <c r="J4199" s="4" t="s">
        <v>13295</v>
      </c>
      <c r="K4199" s="4" t="s">
        <v>13347</v>
      </c>
      <c r="L4199" s="5">
        <v>62123</v>
      </c>
    </row>
    <row r="4200" spans="1:12" x14ac:dyDescent="0.25">
      <c r="A4200" s="3" t="s">
        <v>10786</v>
      </c>
      <c r="B4200" s="4" t="s">
        <v>13292</v>
      </c>
      <c r="C4200" s="4" t="s">
        <v>14</v>
      </c>
      <c r="D4200" s="4" t="s">
        <v>15</v>
      </c>
      <c r="E4200" s="5" t="str">
        <f>"9440084"</f>
        <v>9440084</v>
      </c>
      <c r="F4200" s="3" t="s">
        <v>13348</v>
      </c>
      <c r="G4200" s="5">
        <v>2321025281</v>
      </c>
      <c r="H4200" s="4" t="s">
        <v>13349</v>
      </c>
      <c r="I4200" s="4" t="s">
        <v>13295</v>
      </c>
      <c r="J4200" s="4" t="s">
        <v>13350</v>
      </c>
      <c r="K4200" s="4" t="s">
        <v>13351</v>
      </c>
      <c r="L4200" s="5">
        <v>62100</v>
      </c>
    </row>
    <row r="4201" spans="1:12" x14ac:dyDescent="0.25">
      <c r="A4201" s="3" t="s">
        <v>10786</v>
      </c>
      <c r="B4201" s="4" t="s">
        <v>13292</v>
      </c>
      <c r="C4201" s="4" t="s">
        <v>25</v>
      </c>
      <c r="D4201" s="4" t="s">
        <v>26</v>
      </c>
      <c r="E4201" s="5" t="str">
        <f>"9440403"</f>
        <v>9440403</v>
      </c>
      <c r="F4201" s="3" t="s">
        <v>13352</v>
      </c>
      <c r="G4201" s="5">
        <v>2321601043</v>
      </c>
      <c r="H4201" s="4" t="s">
        <v>13353</v>
      </c>
      <c r="I4201" s="4" t="s">
        <v>13295</v>
      </c>
      <c r="J4201" s="4" t="s">
        <v>13295</v>
      </c>
      <c r="K4201" s="4" t="s">
        <v>13307</v>
      </c>
      <c r="L4201" s="5">
        <v>62110</v>
      </c>
    </row>
    <row r="4202" spans="1:12" x14ac:dyDescent="0.25">
      <c r="A4202" s="3" t="s">
        <v>10786</v>
      </c>
      <c r="B4202" s="4" t="s">
        <v>13292</v>
      </c>
      <c r="C4202" s="4" t="s">
        <v>25</v>
      </c>
      <c r="D4202" s="4" t="s">
        <v>26</v>
      </c>
      <c r="E4202" s="5" t="str">
        <f>"9440335"</f>
        <v>9440335</v>
      </c>
      <c r="F4202" s="3" t="s">
        <v>13354</v>
      </c>
      <c r="G4202" s="5">
        <v>2324093783</v>
      </c>
      <c r="H4202" s="4" t="s">
        <v>13355</v>
      </c>
      <c r="I4202" s="4" t="s">
        <v>13356</v>
      </c>
      <c r="J4202" s="4" t="s">
        <v>13357</v>
      </c>
      <c r="K4202" s="4" t="s">
        <v>13358</v>
      </c>
      <c r="L4202" s="5">
        <v>62041</v>
      </c>
    </row>
    <row r="4203" spans="1:12" x14ac:dyDescent="0.25">
      <c r="A4203" s="3" t="s">
        <v>10786</v>
      </c>
      <c r="B4203" s="4" t="s">
        <v>13292</v>
      </c>
      <c r="C4203" s="4" t="s">
        <v>14</v>
      </c>
      <c r="D4203" s="4" t="s">
        <v>15</v>
      </c>
      <c r="E4203" s="5" t="str">
        <f>"9440072"</f>
        <v>9440072</v>
      </c>
      <c r="F4203" s="3" t="s">
        <v>13359</v>
      </c>
      <c r="G4203" s="5">
        <v>2321035995</v>
      </c>
      <c r="H4203" s="4" t="s">
        <v>13360</v>
      </c>
      <c r="I4203" s="4" t="s">
        <v>13295</v>
      </c>
      <c r="J4203" s="4" t="s">
        <v>13306</v>
      </c>
      <c r="K4203" s="4" t="s">
        <v>13361</v>
      </c>
      <c r="L4203" s="5">
        <v>62123</v>
      </c>
    </row>
    <row r="4204" spans="1:12" x14ac:dyDescent="0.25">
      <c r="A4204" s="3" t="s">
        <v>10786</v>
      </c>
      <c r="B4204" s="4" t="s">
        <v>13292</v>
      </c>
      <c r="C4204" s="4" t="s">
        <v>25</v>
      </c>
      <c r="D4204" s="4" t="s">
        <v>26</v>
      </c>
      <c r="E4204" s="5" t="str">
        <f>"9440111"</f>
        <v>9440111</v>
      </c>
      <c r="F4204" s="3" t="s">
        <v>13362</v>
      </c>
      <c r="G4204" s="5">
        <v>2321092676</v>
      </c>
      <c r="H4204" s="4" t="s">
        <v>13363</v>
      </c>
      <c r="I4204" s="4" t="s">
        <v>13364</v>
      </c>
      <c r="J4204" s="4" t="s">
        <v>13365</v>
      </c>
      <c r="K4204" s="4" t="s">
        <v>13366</v>
      </c>
      <c r="L4204" s="5">
        <v>62100</v>
      </c>
    </row>
    <row r="4205" spans="1:12" x14ac:dyDescent="0.25">
      <c r="A4205" s="3" t="s">
        <v>10786</v>
      </c>
      <c r="B4205" s="4" t="s">
        <v>13292</v>
      </c>
      <c r="C4205" s="4" t="s">
        <v>14</v>
      </c>
      <c r="D4205" s="4" t="s">
        <v>15</v>
      </c>
      <c r="E4205" s="5" t="str">
        <f>"9440328"</f>
        <v>9440328</v>
      </c>
      <c r="F4205" s="3" t="s">
        <v>13367</v>
      </c>
      <c r="G4205" s="5">
        <v>2324022325</v>
      </c>
      <c r="H4205" s="4" t="s">
        <v>13368</v>
      </c>
      <c r="I4205" s="4" t="s">
        <v>13369</v>
      </c>
      <c r="J4205" s="4" t="s">
        <v>13370</v>
      </c>
      <c r="K4205" s="4" t="s">
        <v>13371</v>
      </c>
      <c r="L4205" s="5">
        <v>62042</v>
      </c>
    </row>
    <row r="4206" spans="1:12" x14ac:dyDescent="0.25">
      <c r="A4206" s="3" t="s">
        <v>10786</v>
      </c>
      <c r="B4206" s="4" t="s">
        <v>13292</v>
      </c>
      <c r="C4206" s="4" t="s">
        <v>14</v>
      </c>
      <c r="D4206" s="4" t="s">
        <v>15</v>
      </c>
      <c r="E4206" s="5" t="str">
        <f>"9440079"</f>
        <v>9440079</v>
      </c>
      <c r="F4206" s="3" t="s">
        <v>13372</v>
      </c>
      <c r="G4206" s="5">
        <v>2321022976</v>
      </c>
      <c r="H4206" s="4" t="s">
        <v>13373</v>
      </c>
      <c r="I4206" s="4" t="s">
        <v>13295</v>
      </c>
      <c r="J4206" s="4" t="s">
        <v>13306</v>
      </c>
      <c r="K4206" s="4" t="s">
        <v>13374</v>
      </c>
      <c r="L4206" s="5">
        <v>62124</v>
      </c>
    </row>
    <row r="4207" spans="1:12" x14ac:dyDescent="0.25">
      <c r="A4207" s="3" t="s">
        <v>10786</v>
      </c>
      <c r="B4207" s="4" t="s">
        <v>13292</v>
      </c>
      <c r="C4207" s="4" t="s">
        <v>14</v>
      </c>
      <c r="D4207" s="4" t="s">
        <v>15</v>
      </c>
      <c r="E4207" s="5" t="str">
        <f>"9440151"</f>
        <v>9440151</v>
      </c>
      <c r="F4207" s="3" t="s">
        <v>13375</v>
      </c>
      <c r="G4207" s="5">
        <v>2321038628</v>
      </c>
      <c r="H4207" s="4" t="s">
        <v>13376</v>
      </c>
      <c r="I4207" s="4" t="s">
        <v>13295</v>
      </c>
      <c r="J4207" s="4" t="s">
        <v>13306</v>
      </c>
      <c r="K4207" s="4" t="s">
        <v>13377</v>
      </c>
      <c r="L4207" s="5">
        <v>62125</v>
      </c>
    </row>
    <row r="4208" spans="1:12" x14ac:dyDescent="0.25">
      <c r="A4208" s="3" t="s">
        <v>10786</v>
      </c>
      <c r="B4208" s="4" t="s">
        <v>13292</v>
      </c>
      <c r="C4208" s="4" t="s">
        <v>25</v>
      </c>
      <c r="D4208" s="4" t="s">
        <v>26</v>
      </c>
      <c r="E4208" s="5" t="str">
        <f>"9440392"</f>
        <v>9440392</v>
      </c>
      <c r="F4208" s="3" t="s">
        <v>13378</v>
      </c>
      <c r="G4208" s="5">
        <v>2321023243</v>
      </c>
      <c r="H4208" s="4" t="s">
        <v>13379</v>
      </c>
      <c r="I4208" s="4" t="s">
        <v>13295</v>
      </c>
      <c r="J4208" s="4" t="s">
        <v>13295</v>
      </c>
      <c r="K4208" s="4" t="s">
        <v>13380</v>
      </c>
      <c r="L4208" s="5">
        <v>62124</v>
      </c>
    </row>
    <row r="4209" spans="1:12" x14ac:dyDescent="0.25">
      <c r="A4209" s="3" t="s">
        <v>10786</v>
      </c>
      <c r="B4209" s="4" t="s">
        <v>13292</v>
      </c>
      <c r="C4209" s="4" t="s">
        <v>25</v>
      </c>
      <c r="D4209" s="4" t="s">
        <v>26</v>
      </c>
      <c r="E4209" s="5" t="str">
        <f>"9440372"</f>
        <v>9440372</v>
      </c>
      <c r="F4209" s="3" t="s">
        <v>13381</v>
      </c>
      <c r="G4209" s="5">
        <v>2321063458</v>
      </c>
      <c r="H4209" s="4" t="s">
        <v>13382</v>
      </c>
      <c r="I4209" s="4" t="s">
        <v>13295</v>
      </c>
      <c r="J4209" s="4" t="s">
        <v>13295</v>
      </c>
      <c r="K4209" s="4" t="s">
        <v>13383</v>
      </c>
      <c r="L4209" s="5">
        <v>62124</v>
      </c>
    </row>
    <row r="4210" spans="1:12" x14ac:dyDescent="0.25">
      <c r="A4210" s="3" t="s">
        <v>10786</v>
      </c>
      <c r="B4210" s="4" t="s">
        <v>13292</v>
      </c>
      <c r="C4210" s="4" t="s">
        <v>14</v>
      </c>
      <c r="D4210" s="4" t="s">
        <v>15</v>
      </c>
      <c r="E4210" s="5" t="str">
        <f>"9440250"</f>
        <v>9440250</v>
      </c>
      <c r="F4210" s="3" t="s">
        <v>13384</v>
      </c>
      <c r="G4210" s="5">
        <v>2327041203</v>
      </c>
      <c r="H4210" s="4" t="s">
        <v>13385</v>
      </c>
      <c r="I4210" s="4" t="s">
        <v>13386</v>
      </c>
      <c r="J4210" s="4" t="s">
        <v>13387</v>
      </c>
      <c r="K4210" s="4" t="s">
        <v>13388</v>
      </c>
      <c r="L4210" s="5">
        <v>62055</v>
      </c>
    </row>
    <row r="4211" spans="1:12" x14ac:dyDescent="0.25">
      <c r="A4211" s="3" t="s">
        <v>10786</v>
      </c>
      <c r="B4211" s="4" t="s">
        <v>13292</v>
      </c>
      <c r="C4211" s="4" t="s">
        <v>14</v>
      </c>
      <c r="D4211" s="4" t="s">
        <v>15</v>
      </c>
      <c r="E4211" s="5" t="str">
        <f>"9440343"</f>
        <v>9440343</v>
      </c>
      <c r="F4211" s="3" t="s">
        <v>13389</v>
      </c>
      <c r="G4211" s="5">
        <v>2324071228</v>
      </c>
      <c r="H4211" s="4" t="s">
        <v>13390</v>
      </c>
      <c r="I4211" s="4" t="s">
        <v>13356</v>
      </c>
      <c r="J4211" s="4" t="s">
        <v>13391</v>
      </c>
      <c r="K4211" s="4" t="s">
        <v>13392</v>
      </c>
      <c r="L4211" s="5">
        <v>62041</v>
      </c>
    </row>
    <row r="4212" spans="1:12" x14ac:dyDescent="0.25">
      <c r="A4212" s="3" t="s">
        <v>10786</v>
      </c>
      <c r="B4212" s="4" t="s">
        <v>13292</v>
      </c>
      <c r="C4212" s="4" t="s">
        <v>14</v>
      </c>
      <c r="D4212" s="4" t="s">
        <v>15</v>
      </c>
      <c r="E4212" s="5" t="str">
        <f>"9440039"</f>
        <v>9440039</v>
      </c>
      <c r="F4212" s="3" t="s">
        <v>13393</v>
      </c>
      <c r="G4212" s="5">
        <v>2322031219</v>
      </c>
      <c r="H4212" s="4" t="s">
        <v>13394</v>
      </c>
      <c r="I4212" s="4" t="s">
        <v>13395</v>
      </c>
      <c r="J4212" s="4" t="s">
        <v>13396</v>
      </c>
      <c r="K4212" s="4" t="s">
        <v>13397</v>
      </c>
      <c r="L4212" s="5">
        <v>62049</v>
      </c>
    </row>
    <row r="4213" spans="1:12" x14ac:dyDescent="0.25">
      <c r="A4213" s="3" t="s">
        <v>10786</v>
      </c>
      <c r="B4213" s="4" t="s">
        <v>13292</v>
      </c>
      <c r="C4213" s="4" t="s">
        <v>14</v>
      </c>
      <c r="D4213" s="4" t="s">
        <v>15</v>
      </c>
      <c r="E4213" s="5" t="str">
        <f>"9440148"</f>
        <v>9440148</v>
      </c>
      <c r="F4213" s="3" t="s">
        <v>13398</v>
      </c>
      <c r="G4213" s="5">
        <v>2321045576</v>
      </c>
      <c r="H4213" s="4" t="s">
        <v>13399</v>
      </c>
      <c r="I4213" s="4" t="s">
        <v>13295</v>
      </c>
      <c r="J4213" s="4" t="s">
        <v>13306</v>
      </c>
      <c r="K4213" s="4" t="s">
        <v>13400</v>
      </c>
      <c r="L4213" s="5">
        <v>62125</v>
      </c>
    </row>
    <row r="4214" spans="1:12" x14ac:dyDescent="0.25">
      <c r="A4214" s="3" t="s">
        <v>10786</v>
      </c>
      <c r="B4214" s="4" t="s">
        <v>13292</v>
      </c>
      <c r="C4214" s="4" t="s">
        <v>25</v>
      </c>
      <c r="D4214" s="4" t="s">
        <v>821</v>
      </c>
      <c r="E4214" s="5" t="str">
        <f>"9440073"</f>
        <v>9440073</v>
      </c>
      <c r="F4214" s="3" t="s">
        <v>13401</v>
      </c>
      <c r="G4214" s="5">
        <v>2321020728</v>
      </c>
      <c r="H4214" s="4" t="s">
        <v>13402</v>
      </c>
      <c r="I4214" s="4" t="s">
        <v>13295</v>
      </c>
      <c r="J4214" s="4" t="s">
        <v>13295</v>
      </c>
      <c r="K4214" s="4" t="s">
        <v>13403</v>
      </c>
      <c r="L4214" s="5">
        <v>62100</v>
      </c>
    </row>
    <row r="4215" spans="1:12" x14ac:dyDescent="0.25">
      <c r="A4215" s="3" t="s">
        <v>10786</v>
      </c>
      <c r="B4215" s="4" t="s">
        <v>13292</v>
      </c>
      <c r="C4215" s="4" t="s">
        <v>25</v>
      </c>
      <c r="D4215" s="4" t="s">
        <v>26</v>
      </c>
      <c r="E4215" s="5" t="str">
        <f>"9440083"</f>
        <v>9440083</v>
      </c>
      <c r="F4215" s="3" t="s">
        <v>13404</v>
      </c>
      <c r="G4215" s="5">
        <v>2321021664</v>
      </c>
      <c r="H4215" s="4" t="s">
        <v>13405</v>
      </c>
      <c r="I4215" s="4" t="s">
        <v>13295</v>
      </c>
      <c r="J4215" s="4" t="s">
        <v>13306</v>
      </c>
      <c r="K4215" s="4" t="s">
        <v>13406</v>
      </c>
      <c r="L4215" s="5">
        <v>62122</v>
      </c>
    </row>
    <row r="4216" spans="1:12" x14ac:dyDescent="0.25">
      <c r="A4216" s="3" t="s">
        <v>10786</v>
      </c>
      <c r="B4216" s="4" t="s">
        <v>13292</v>
      </c>
      <c r="C4216" s="4" t="s">
        <v>25</v>
      </c>
      <c r="D4216" s="4" t="s">
        <v>26</v>
      </c>
      <c r="E4216" s="5" t="str">
        <f>"9440371"</f>
        <v>9440371</v>
      </c>
      <c r="F4216" s="3" t="s">
        <v>13407</v>
      </c>
      <c r="G4216" s="5">
        <v>2321063094</v>
      </c>
      <c r="H4216" s="4" t="s">
        <v>13408</v>
      </c>
      <c r="I4216" s="4" t="s">
        <v>13295</v>
      </c>
      <c r="J4216" s="4" t="s">
        <v>13295</v>
      </c>
      <c r="K4216" s="4" t="s">
        <v>13409</v>
      </c>
      <c r="L4216" s="5">
        <v>62122</v>
      </c>
    </row>
    <row r="4217" spans="1:12" x14ac:dyDescent="0.25">
      <c r="A4217" s="3" t="s">
        <v>10786</v>
      </c>
      <c r="B4217" s="4" t="s">
        <v>13292</v>
      </c>
      <c r="C4217" s="4" t="s">
        <v>14</v>
      </c>
      <c r="D4217" s="4" t="s">
        <v>15</v>
      </c>
      <c r="E4217" s="5" t="str">
        <f>"9440048"</f>
        <v>9440048</v>
      </c>
      <c r="F4217" s="3" t="s">
        <v>13410</v>
      </c>
      <c r="G4217" s="5">
        <v>2322051204</v>
      </c>
      <c r="H4217" s="4" t="s">
        <v>13411</v>
      </c>
      <c r="I4217" s="4" t="s">
        <v>13395</v>
      </c>
      <c r="J4217" s="4" t="s">
        <v>13412</v>
      </c>
      <c r="K4217" s="4" t="s">
        <v>13413</v>
      </c>
      <c r="L4217" s="5">
        <v>62200</v>
      </c>
    </row>
    <row r="4218" spans="1:12" x14ac:dyDescent="0.25">
      <c r="A4218" s="3" t="s">
        <v>10786</v>
      </c>
      <c r="B4218" s="4" t="s">
        <v>13292</v>
      </c>
      <c r="C4218" s="4" t="s">
        <v>25</v>
      </c>
      <c r="D4218" s="4" t="s">
        <v>26</v>
      </c>
      <c r="E4218" s="5" t="str">
        <f>"9440410"</f>
        <v>9440410</v>
      </c>
      <c r="F4218" s="3" t="s">
        <v>13414</v>
      </c>
      <c r="G4218" s="5">
        <v>2321057174</v>
      </c>
      <c r="H4218" s="4" t="s">
        <v>13415</v>
      </c>
      <c r="I4218" s="4" t="s">
        <v>13295</v>
      </c>
      <c r="J4218" s="4" t="s">
        <v>13295</v>
      </c>
      <c r="K4218" s="4" t="s">
        <v>13416</v>
      </c>
      <c r="L4218" s="5">
        <v>62124</v>
      </c>
    </row>
    <row r="4219" spans="1:12" x14ac:dyDescent="0.25">
      <c r="A4219" s="3" t="s">
        <v>10786</v>
      </c>
      <c r="B4219" s="4" t="s">
        <v>13292</v>
      </c>
      <c r="C4219" s="4" t="s">
        <v>25</v>
      </c>
      <c r="D4219" s="4" t="s">
        <v>26</v>
      </c>
      <c r="E4219" s="5" t="str">
        <f>"9440137"</f>
        <v>9440137</v>
      </c>
      <c r="F4219" s="3" t="s">
        <v>13417</v>
      </c>
      <c r="G4219" s="5">
        <v>2325022935</v>
      </c>
      <c r="H4219" s="4" t="s">
        <v>13418</v>
      </c>
      <c r="I4219" s="4" t="s">
        <v>13419</v>
      </c>
      <c r="J4219" s="4" t="s">
        <v>13419</v>
      </c>
      <c r="K4219" s="4" t="s">
        <v>13420</v>
      </c>
      <c r="L4219" s="5">
        <v>62400</v>
      </c>
    </row>
    <row r="4220" spans="1:12" x14ac:dyDescent="0.25">
      <c r="A4220" s="3" t="s">
        <v>10786</v>
      </c>
      <c r="B4220" s="4" t="s">
        <v>13292</v>
      </c>
      <c r="C4220" s="4" t="s">
        <v>25</v>
      </c>
      <c r="D4220" s="4" t="s">
        <v>26</v>
      </c>
      <c r="E4220" s="5" t="str">
        <f>"9440138"</f>
        <v>9440138</v>
      </c>
      <c r="F4220" s="3" t="s">
        <v>13421</v>
      </c>
      <c r="G4220" s="5">
        <v>2325022935</v>
      </c>
      <c r="H4220" s="4" t="s">
        <v>13422</v>
      </c>
      <c r="I4220" s="4" t="s">
        <v>13419</v>
      </c>
      <c r="J4220" s="4" t="s">
        <v>13419</v>
      </c>
      <c r="K4220" s="4" t="s">
        <v>13420</v>
      </c>
      <c r="L4220" s="5">
        <v>62400</v>
      </c>
    </row>
    <row r="4221" spans="1:12" x14ac:dyDescent="0.25">
      <c r="A4221" s="3" t="s">
        <v>10786</v>
      </c>
      <c r="B4221" s="4" t="s">
        <v>13292</v>
      </c>
      <c r="C4221" s="4" t="s">
        <v>25</v>
      </c>
      <c r="D4221" s="4" t="s">
        <v>26</v>
      </c>
      <c r="E4221" s="5" t="str">
        <f>"9440411"</f>
        <v>9440411</v>
      </c>
      <c r="F4221" s="3" t="s">
        <v>13423</v>
      </c>
      <c r="G4221" s="5">
        <v>2321021976</v>
      </c>
      <c r="H4221" s="4" t="s">
        <v>13424</v>
      </c>
      <c r="I4221" s="4" t="s">
        <v>13295</v>
      </c>
      <c r="J4221" s="4" t="s">
        <v>13295</v>
      </c>
      <c r="K4221" s="4" t="s">
        <v>13383</v>
      </c>
      <c r="L4221" s="5">
        <v>62100</v>
      </c>
    </row>
    <row r="4222" spans="1:12" x14ac:dyDescent="0.25">
      <c r="A4222" s="3" t="s">
        <v>10786</v>
      </c>
      <c r="B4222" s="4" t="s">
        <v>13292</v>
      </c>
      <c r="C4222" s="4" t="s">
        <v>14</v>
      </c>
      <c r="D4222" s="4" t="s">
        <v>15</v>
      </c>
      <c r="E4222" s="5" t="str">
        <f>"9440110"</f>
        <v>9440110</v>
      </c>
      <c r="F4222" s="3" t="s">
        <v>13425</v>
      </c>
      <c r="G4222" s="5">
        <v>2321031201</v>
      </c>
      <c r="H4222" s="4" t="s">
        <v>13426</v>
      </c>
      <c r="I4222" s="4" t="s">
        <v>13364</v>
      </c>
      <c r="J4222" s="4" t="s">
        <v>13427</v>
      </c>
      <c r="K4222" s="4" t="s">
        <v>13428</v>
      </c>
      <c r="L4222" s="5">
        <v>62044</v>
      </c>
    </row>
    <row r="4223" spans="1:12" x14ac:dyDescent="0.25">
      <c r="A4223" s="3" t="s">
        <v>10786</v>
      </c>
      <c r="B4223" s="4" t="s">
        <v>13292</v>
      </c>
      <c r="C4223" s="4" t="s">
        <v>25</v>
      </c>
      <c r="D4223" s="4" t="s">
        <v>26</v>
      </c>
      <c r="E4223" s="5" t="str">
        <f>"9440426"</f>
        <v>9440426</v>
      </c>
      <c r="F4223" s="3" t="s">
        <v>13429</v>
      </c>
      <c r="G4223" s="5">
        <v>2323024340</v>
      </c>
      <c r="H4223" s="4" t="s">
        <v>13430</v>
      </c>
      <c r="I4223" s="4" t="s">
        <v>13386</v>
      </c>
      <c r="J4223" s="4" t="s">
        <v>13431</v>
      </c>
      <c r="K4223" s="4" t="s">
        <v>13432</v>
      </c>
      <c r="L4223" s="5">
        <v>62300</v>
      </c>
    </row>
    <row r="4224" spans="1:12" x14ac:dyDescent="0.25">
      <c r="A4224" s="3" t="s">
        <v>10786</v>
      </c>
      <c r="B4224" s="4" t="s">
        <v>13292</v>
      </c>
      <c r="C4224" s="4" t="s">
        <v>14</v>
      </c>
      <c r="D4224" s="4" t="s">
        <v>15</v>
      </c>
      <c r="E4224" s="5" t="str">
        <f>"9440234"</f>
        <v>9440234</v>
      </c>
      <c r="F4224" s="3" t="s">
        <v>13433</v>
      </c>
      <c r="G4224" s="5">
        <v>2323031326</v>
      </c>
      <c r="H4224" s="4" t="s">
        <v>13434</v>
      </c>
      <c r="I4224" s="4" t="s">
        <v>13386</v>
      </c>
      <c r="J4224" s="4" t="s">
        <v>13435</v>
      </c>
      <c r="K4224" s="4" t="s">
        <v>13436</v>
      </c>
      <c r="L4224" s="5">
        <v>62043</v>
      </c>
    </row>
    <row r="4225" spans="1:12" x14ac:dyDescent="0.25">
      <c r="A4225" s="3" t="s">
        <v>10786</v>
      </c>
      <c r="B4225" s="4" t="s">
        <v>13292</v>
      </c>
      <c r="C4225" s="4" t="s">
        <v>14</v>
      </c>
      <c r="D4225" s="4" t="s">
        <v>15</v>
      </c>
      <c r="E4225" s="5" t="str">
        <f>"9440213"</f>
        <v>9440213</v>
      </c>
      <c r="F4225" s="3" t="s">
        <v>13437</v>
      </c>
      <c r="G4225" s="5">
        <v>2323022416</v>
      </c>
      <c r="H4225" s="4" t="s">
        <v>13438</v>
      </c>
      <c r="I4225" s="4" t="s">
        <v>13386</v>
      </c>
      <c r="J4225" s="4" t="s">
        <v>13439</v>
      </c>
      <c r="K4225" s="4" t="s">
        <v>13440</v>
      </c>
      <c r="L4225" s="5">
        <v>62300</v>
      </c>
    </row>
    <row r="4226" spans="1:12" x14ac:dyDescent="0.25">
      <c r="A4226" s="3" t="s">
        <v>10786</v>
      </c>
      <c r="B4226" s="4" t="s">
        <v>13292</v>
      </c>
      <c r="C4226" s="4" t="s">
        <v>14</v>
      </c>
      <c r="D4226" s="4" t="s">
        <v>15</v>
      </c>
      <c r="E4226" s="5" t="str">
        <f>"9440266"</f>
        <v>9440266</v>
      </c>
      <c r="F4226" s="3" t="s">
        <v>13441</v>
      </c>
      <c r="G4226" s="5">
        <v>2323031227</v>
      </c>
      <c r="H4226" s="4" t="s">
        <v>13442</v>
      </c>
      <c r="I4226" s="4" t="s">
        <v>13386</v>
      </c>
      <c r="J4226" s="4" t="s">
        <v>13443</v>
      </c>
      <c r="K4226" s="4" t="s">
        <v>13444</v>
      </c>
      <c r="L4226" s="5">
        <v>62043</v>
      </c>
    </row>
    <row r="4227" spans="1:12" x14ac:dyDescent="0.25">
      <c r="A4227" s="3" t="s">
        <v>10786</v>
      </c>
      <c r="B4227" s="4" t="s">
        <v>13292</v>
      </c>
      <c r="C4227" s="4" t="s">
        <v>14</v>
      </c>
      <c r="D4227" s="4" t="s">
        <v>15</v>
      </c>
      <c r="E4227" s="5" t="str">
        <f>"9440307"</f>
        <v>9440307</v>
      </c>
      <c r="F4227" s="3" t="s">
        <v>13445</v>
      </c>
      <c r="G4227" s="5">
        <v>2324051207</v>
      </c>
      <c r="H4227" s="4" t="s">
        <v>13446</v>
      </c>
      <c r="I4227" s="4" t="s">
        <v>13369</v>
      </c>
      <c r="J4227" s="4" t="s">
        <v>13447</v>
      </c>
      <c r="K4227" s="4" t="s">
        <v>13448</v>
      </c>
      <c r="L4227" s="5">
        <v>62052</v>
      </c>
    </row>
    <row r="4228" spans="1:12" x14ac:dyDescent="0.25">
      <c r="A4228" s="3" t="s">
        <v>10786</v>
      </c>
      <c r="B4228" s="4" t="s">
        <v>13292</v>
      </c>
      <c r="C4228" s="4" t="s">
        <v>14</v>
      </c>
      <c r="D4228" s="4" t="s">
        <v>15</v>
      </c>
      <c r="E4228" s="5" t="str">
        <f>"9440112"</f>
        <v>9440112</v>
      </c>
      <c r="F4228" s="3" t="s">
        <v>13449</v>
      </c>
      <c r="G4228" s="5">
        <v>2321091250</v>
      </c>
      <c r="H4228" s="4" t="s">
        <v>13450</v>
      </c>
      <c r="I4228" s="4" t="s">
        <v>13364</v>
      </c>
      <c r="J4228" s="4" t="s">
        <v>13451</v>
      </c>
      <c r="K4228" s="4" t="s">
        <v>13452</v>
      </c>
      <c r="L4228" s="5">
        <v>62100</v>
      </c>
    </row>
    <row r="4229" spans="1:12" x14ac:dyDescent="0.25">
      <c r="A4229" s="3" t="s">
        <v>10786</v>
      </c>
      <c r="B4229" s="4" t="s">
        <v>13292</v>
      </c>
      <c r="C4229" s="4" t="s">
        <v>14</v>
      </c>
      <c r="D4229" s="4" t="s">
        <v>15</v>
      </c>
      <c r="E4229" s="5" t="str">
        <f>"9440114"</f>
        <v>9440114</v>
      </c>
      <c r="F4229" s="3" t="s">
        <v>13453</v>
      </c>
      <c r="G4229" s="5">
        <v>2321076474</v>
      </c>
      <c r="H4229" s="4" t="s">
        <v>13454</v>
      </c>
      <c r="I4229" s="4" t="s">
        <v>13364</v>
      </c>
      <c r="J4229" s="4" t="s">
        <v>8164</v>
      </c>
      <c r="K4229" s="4" t="s">
        <v>13455</v>
      </c>
      <c r="L4229" s="5">
        <v>62100</v>
      </c>
    </row>
    <row r="4230" spans="1:12" x14ac:dyDescent="0.25">
      <c r="A4230" s="3" t="s">
        <v>10786</v>
      </c>
      <c r="B4230" s="4" t="s">
        <v>13292</v>
      </c>
      <c r="C4230" s="4" t="s">
        <v>14</v>
      </c>
      <c r="D4230" s="4" t="s">
        <v>15</v>
      </c>
      <c r="E4230" s="5" t="str">
        <f>"9440149"</f>
        <v>9440149</v>
      </c>
      <c r="F4230" s="3" t="s">
        <v>13456</v>
      </c>
      <c r="G4230" s="5">
        <v>2321038710</v>
      </c>
      <c r="H4230" s="4" t="s">
        <v>13457</v>
      </c>
      <c r="I4230" s="4" t="s">
        <v>13295</v>
      </c>
      <c r="J4230" s="4" t="s">
        <v>13306</v>
      </c>
      <c r="K4230" s="4" t="s">
        <v>13458</v>
      </c>
      <c r="L4230" s="5">
        <v>62125</v>
      </c>
    </row>
    <row r="4231" spans="1:12" x14ac:dyDescent="0.25">
      <c r="A4231" s="3" t="s">
        <v>10786</v>
      </c>
      <c r="B4231" s="4" t="s">
        <v>13292</v>
      </c>
      <c r="C4231" s="4" t="s">
        <v>14</v>
      </c>
      <c r="D4231" s="4" t="s">
        <v>15</v>
      </c>
      <c r="E4231" s="5" t="str">
        <f>"9440150"</f>
        <v>9440150</v>
      </c>
      <c r="F4231" s="3" t="s">
        <v>13459</v>
      </c>
      <c r="G4231" s="5">
        <v>2321350681</v>
      </c>
      <c r="H4231" s="4" t="s">
        <v>13460</v>
      </c>
      <c r="I4231" s="4" t="s">
        <v>13295</v>
      </c>
      <c r="J4231" s="4" t="s">
        <v>13306</v>
      </c>
      <c r="K4231" s="4" t="s">
        <v>13331</v>
      </c>
      <c r="L4231" s="5">
        <v>62121</v>
      </c>
    </row>
    <row r="4232" spans="1:12" x14ac:dyDescent="0.25">
      <c r="A4232" s="3" t="s">
        <v>10786</v>
      </c>
      <c r="B4232" s="4" t="s">
        <v>13292</v>
      </c>
      <c r="C4232" s="4" t="s">
        <v>25</v>
      </c>
      <c r="D4232" s="4" t="s">
        <v>26</v>
      </c>
      <c r="E4232" s="5" t="str">
        <f>"9440002"</f>
        <v>9440002</v>
      </c>
      <c r="F4232" s="3" t="s">
        <v>13461</v>
      </c>
      <c r="G4232" s="5">
        <v>2322023027</v>
      </c>
      <c r="H4232" s="4" t="s">
        <v>13462</v>
      </c>
      <c r="I4232" s="4" t="s">
        <v>13395</v>
      </c>
      <c r="J4232" s="4" t="s">
        <v>13463</v>
      </c>
      <c r="K4232" s="4" t="s">
        <v>13464</v>
      </c>
      <c r="L4232" s="5">
        <v>62200</v>
      </c>
    </row>
    <row r="4233" spans="1:12" x14ac:dyDescent="0.25">
      <c r="A4233" s="3" t="s">
        <v>10786</v>
      </c>
      <c r="B4233" s="4" t="s">
        <v>13292</v>
      </c>
      <c r="C4233" s="4" t="s">
        <v>14</v>
      </c>
      <c r="D4233" s="4" t="s">
        <v>15</v>
      </c>
      <c r="E4233" s="5" t="str">
        <f>"9440147"</f>
        <v>9440147</v>
      </c>
      <c r="F4233" s="3" t="s">
        <v>13465</v>
      </c>
      <c r="G4233" s="5">
        <v>2321022115</v>
      </c>
      <c r="H4233" s="4" t="s">
        <v>13466</v>
      </c>
      <c r="I4233" s="4" t="s">
        <v>13295</v>
      </c>
      <c r="J4233" s="4" t="s">
        <v>13306</v>
      </c>
      <c r="K4233" s="4" t="s">
        <v>13467</v>
      </c>
      <c r="L4233" s="5">
        <v>62121</v>
      </c>
    </row>
    <row r="4234" spans="1:12" x14ac:dyDescent="0.25">
      <c r="A4234" s="3" t="s">
        <v>10786</v>
      </c>
      <c r="B4234" s="4" t="s">
        <v>13292</v>
      </c>
      <c r="C4234" s="4" t="s">
        <v>14</v>
      </c>
      <c r="D4234" s="4" t="s">
        <v>15</v>
      </c>
      <c r="E4234" s="5" t="str">
        <f>"9440418"</f>
        <v>9440418</v>
      </c>
      <c r="F4234" s="3" t="s">
        <v>13468</v>
      </c>
      <c r="G4234" s="5">
        <v>2321021485</v>
      </c>
      <c r="H4234" s="4" t="s">
        <v>13469</v>
      </c>
      <c r="I4234" s="4" t="s">
        <v>13295</v>
      </c>
      <c r="J4234" s="4" t="s">
        <v>13306</v>
      </c>
      <c r="K4234" s="4" t="s">
        <v>13331</v>
      </c>
      <c r="L4234" s="5">
        <v>62121</v>
      </c>
    </row>
    <row r="4235" spans="1:12" x14ac:dyDescent="0.25">
      <c r="A4235" s="3" t="s">
        <v>10786</v>
      </c>
      <c r="B4235" s="4" t="s">
        <v>13292</v>
      </c>
      <c r="C4235" s="4" t="s">
        <v>14</v>
      </c>
      <c r="D4235" s="4" t="s">
        <v>15</v>
      </c>
      <c r="E4235" s="5" t="str">
        <f>"9440294"</f>
        <v>9440294</v>
      </c>
      <c r="F4235" s="3" t="s">
        <v>13470</v>
      </c>
      <c r="G4235" s="5">
        <v>2324031224</v>
      </c>
      <c r="H4235" s="4" t="s">
        <v>13471</v>
      </c>
      <c r="I4235" s="4" t="s">
        <v>13369</v>
      </c>
      <c r="J4235" s="4" t="s">
        <v>13472</v>
      </c>
      <c r="K4235" s="4" t="s">
        <v>13472</v>
      </c>
      <c r="L4235" s="5">
        <v>62045</v>
      </c>
    </row>
    <row r="4236" spans="1:12" x14ac:dyDescent="0.25">
      <c r="A4236" s="3" t="s">
        <v>10786</v>
      </c>
      <c r="B4236" s="4" t="s">
        <v>13292</v>
      </c>
      <c r="C4236" s="4" t="s">
        <v>25</v>
      </c>
      <c r="D4236" s="4" t="s">
        <v>26</v>
      </c>
      <c r="E4236" s="5" t="str">
        <f>"9440178"</f>
        <v>9440178</v>
      </c>
      <c r="F4236" s="3" t="s">
        <v>13473</v>
      </c>
      <c r="G4236" s="5">
        <v>2321075720</v>
      </c>
      <c r="H4236" s="4" t="s">
        <v>13474</v>
      </c>
      <c r="I4236" s="4" t="s">
        <v>13295</v>
      </c>
      <c r="J4236" s="4" t="s">
        <v>13475</v>
      </c>
      <c r="K4236" s="4" t="s">
        <v>13476</v>
      </c>
      <c r="L4236" s="5">
        <v>62100</v>
      </c>
    </row>
    <row r="4237" spans="1:12" x14ac:dyDescent="0.25">
      <c r="A4237" s="3" t="s">
        <v>10786</v>
      </c>
      <c r="B4237" s="4" t="s">
        <v>13292</v>
      </c>
      <c r="C4237" s="4" t="s">
        <v>14</v>
      </c>
      <c r="D4237" s="4" t="s">
        <v>15</v>
      </c>
      <c r="E4237" s="5" t="str">
        <f>"9440153"</f>
        <v>9440153</v>
      </c>
      <c r="F4237" s="3" t="s">
        <v>13477</v>
      </c>
      <c r="G4237" s="5">
        <v>2321022015</v>
      </c>
      <c r="H4237" s="4" t="s">
        <v>13478</v>
      </c>
      <c r="I4237" s="4" t="s">
        <v>13295</v>
      </c>
      <c r="J4237" s="4" t="s">
        <v>13306</v>
      </c>
      <c r="K4237" s="4" t="s">
        <v>13320</v>
      </c>
      <c r="L4237" s="5">
        <v>62121</v>
      </c>
    </row>
    <row r="4238" spans="1:12" x14ac:dyDescent="0.25">
      <c r="A4238" s="3" t="s">
        <v>10786</v>
      </c>
      <c r="B4238" s="4" t="s">
        <v>13292</v>
      </c>
      <c r="C4238" s="4" t="s">
        <v>14</v>
      </c>
      <c r="D4238" s="4" t="s">
        <v>15</v>
      </c>
      <c r="E4238" s="5" t="str">
        <f>"9440276"</f>
        <v>9440276</v>
      </c>
      <c r="F4238" s="3" t="s">
        <v>13479</v>
      </c>
      <c r="G4238" s="5">
        <v>2327022259</v>
      </c>
      <c r="H4238" s="4" t="s">
        <v>13480</v>
      </c>
      <c r="I4238" s="4" t="s">
        <v>13386</v>
      </c>
      <c r="J4238" s="4" t="s">
        <v>3008</v>
      </c>
      <c r="K4238" s="4" t="s">
        <v>13481</v>
      </c>
      <c r="L4238" s="5">
        <v>62055</v>
      </c>
    </row>
    <row r="4239" spans="1:12" x14ac:dyDescent="0.25">
      <c r="A4239" s="3" t="s">
        <v>10786</v>
      </c>
      <c r="B4239" s="4" t="s">
        <v>13292</v>
      </c>
      <c r="C4239" s="4" t="s">
        <v>14</v>
      </c>
      <c r="D4239" s="4" t="s">
        <v>15</v>
      </c>
      <c r="E4239" s="5" t="str">
        <f>"9440080"</f>
        <v>9440080</v>
      </c>
      <c r="F4239" s="3" t="s">
        <v>13482</v>
      </c>
      <c r="G4239" s="5">
        <v>2321020931</v>
      </c>
      <c r="H4239" s="4" t="s">
        <v>13483</v>
      </c>
      <c r="I4239" s="4" t="s">
        <v>13295</v>
      </c>
      <c r="J4239" s="4" t="s">
        <v>13306</v>
      </c>
      <c r="K4239" s="4" t="s">
        <v>13484</v>
      </c>
      <c r="L4239" s="5">
        <v>62122</v>
      </c>
    </row>
    <row r="4240" spans="1:12" x14ac:dyDescent="0.25">
      <c r="A4240" s="3" t="s">
        <v>10786</v>
      </c>
      <c r="B4240" s="4" t="s">
        <v>13292</v>
      </c>
      <c r="C4240" s="4" t="s">
        <v>14</v>
      </c>
      <c r="D4240" s="4" t="s">
        <v>15</v>
      </c>
      <c r="E4240" s="5" t="str">
        <f>"9440085"</f>
        <v>9440085</v>
      </c>
      <c r="F4240" s="3" t="s">
        <v>13485</v>
      </c>
      <c r="G4240" s="5">
        <v>2321025105</v>
      </c>
      <c r="H4240" s="4" t="s">
        <v>13486</v>
      </c>
      <c r="I4240" s="4" t="s">
        <v>13295</v>
      </c>
      <c r="J4240" s="4" t="s">
        <v>13306</v>
      </c>
      <c r="K4240" s="4" t="s">
        <v>13374</v>
      </c>
      <c r="L4240" s="5">
        <v>62124</v>
      </c>
    </row>
    <row r="4241" spans="1:12" x14ac:dyDescent="0.25">
      <c r="A4241" s="3" t="s">
        <v>10786</v>
      </c>
      <c r="B4241" s="4" t="s">
        <v>13292</v>
      </c>
      <c r="C4241" s="4" t="s">
        <v>14</v>
      </c>
      <c r="D4241" s="4" t="s">
        <v>15</v>
      </c>
      <c r="E4241" s="5" t="str">
        <f>"9440211"</f>
        <v>9440211</v>
      </c>
      <c r="F4241" s="3" t="s">
        <v>13487</v>
      </c>
      <c r="G4241" s="5">
        <v>2323350535</v>
      </c>
      <c r="H4241" s="4" t="s">
        <v>13488</v>
      </c>
      <c r="I4241" s="4" t="s">
        <v>13386</v>
      </c>
      <c r="J4241" s="4" t="s">
        <v>13439</v>
      </c>
      <c r="K4241" s="4" t="s">
        <v>13489</v>
      </c>
      <c r="L4241" s="5">
        <v>62300</v>
      </c>
    </row>
    <row r="4242" spans="1:12" x14ac:dyDescent="0.25">
      <c r="A4242" s="3" t="s">
        <v>10786</v>
      </c>
      <c r="B4242" s="4" t="s">
        <v>13292</v>
      </c>
      <c r="C4242" s="4" t="s">
        <v>14</v>
      </c>
      <c r="D4242" s="4" t="s">
        <v>15</v>
      </c>
      <c r="E4242" s="5" t="str">
        <f>"9440001"</f>
        <v>9440001</v>
      </c>
      <c r="F4242" s="3" t="s">
        <v>13490</v>
      </c>
      <c r="G4242" s="5">
        <v>2322022303</v>
      </c>
      <c r="H4242" s="4" t="s">
        <v>13491</v>
      </c>
      <c r="I4242" s="4" t="s">
        <v>13395</v>
      </c>
      <c r="J4242" s="4" t="s">
        <v>13492</v>
      </c>
      <c r="K4242" s="4" t="s">
        <v>13493</v>
      </c>
      <c r="L4242" s="5">
        <v>62200</v>
      </c>
    </row>
    <row r="4243" spans="1:12" x14ac:dyDescent="0.25">
      <c r="A4243" s="3" t="s">
        <v>10786</v>
      </c>
      <c r="B4243" s="4" t="s">
        <v>13292</v>
      </c>
      <c r="C4243" s="4" t="s">
        <v>14</v>
      </c>
      <c r="D4243" s="4" t="s">
        <v>15</v>
      </c>
      <c r="E4243" s="5" t="str">
        <f>"9440004"</f>
        <v>9440004</v>
      </c>
      <c r="F4243" s="3" t="s">
        <v>13494</v>
      </c>
      <c r="G4243" s="5">
        <v>2322022307</v>
      </c>
      <c r="H4243" s="4" t="s">
        <v>13495</v>
      </c>
      <c r="I4243" s="4" t="s">
        <v>13395</v>
      </c>
      <c r="J4243" s="4" t="s">
        <v>13492</v>
      </c>
      <c r="K4243" s="4" t="s">
        <v>13496</v>
      </c>
      <c r="L4243" s="5">
        <v>62200</v>
      </c>
    </row>
    <row r="4244" spans="1:12" x14ac:dyDescent="0.25">
      <c r="A4244" s="3" t="s">
        <v>10786</v>
      </c>
      <c r="B4244" s="4" t="s">
        <v>13292</v>
      </c>
      <c r="C4244" s="4" t="s">
        <v>14</v>
      </c>
      <c r="D4244" s="4" t="s">
        <v>15</v>
      </c>
      <c r="E4244" s="5" t="str">
        <f>"9440005"</f>
        <v>9440005</v>
      </c>
      <c r="F4244" s="3" t="s">
        <v>13497</v>
      </c>
      <c r="G4244" s="5">
        <v>2322022387</v>
      </c>
      <c r="H4244" s="4" t="s">
        <v>13498</v>
      </c>
      <c r="I4244" s="4" t="s">
        <v>13395</v>
      </c>
      <c r="J4244" s="4" t="s">
        <v>13492</v>
      </c>
      <c r="K4244" s="4" t="s">
        <v>13499</v>
      </c>
      <c r="L4244" s="5">
        <v>62200</v>
      </c>
    </row>
    <row r="4245" spans="1:12" x14ac:dyDescent="0.25">
      <c r="A4245" s="3" t="s">
        <v>10786</v>
      </c>
      <c r="B4245" s="4" t="s">
        <v>13292</v>
      </c>
      <c r="C4245" s="4" t="s">
        <v>14</v>
      </c>
      <c r="D4245" s="4" t="s">
        <v>15</v>
      </c>
      <c r="E4245" s="5" t="str">
        <f>"9440050"</f>
        <v>9440050</v>
      </c>
      <c r="F4245" s="3" t="s">
        <v>13500</v>
      </c>
      <c r="G4245" s="5">
        <v>2322022651</v>
      </c>
      <c r="H4245" s="4" t="s">
        <v>13501</v>
      </c>
      <c r="I4245" s="4" t="s">
        <v>13395</v>
      </c>
      <c r="J4245" s="4" t="s">
        <v>13502</v>
      </c>
      <c r="K4245" s="4" t="s">
        <v>13502</v>
      </c>
      <c r="L4245" s="5">
        <v>62200</v>
      </c>
    </row>
    <row r="4246" spans="1:12" x14ac:dyDescent="0.25">
      <c r="A4246" s="3" t="s">
        <v>10786</v>
      </c>
      <c r="B4246" s="4" t="s">
        <v>13292</v>
      </c>
      <c r="C4246" s="4" t="s">
        <v>14</v>
      </c>
      <c r="D4246" s="4" t="s">
        <v>15</v>
      </c>
      <c r="E4246" s="5" t="str">
        <f>"9440102"</f>
        <v>9440102</v>
      </c>
      <c r="F4246" s="3" t="s">
        <v>13503</v>
      </c>
      <c r="G4246" s="5">
        <v>2321041660</v>
      </c>
      <c r="H4246" s="4" t="s">
        <v>13504</v>
      </c>
      <c r="I4246" s="4" t="s">
        <v>13295</v>
      </c>
      <c r="J4246" s="4" t="s">
        <v>13505</v>
      </c>
      <c r="K4246" s="4" t="s">
        <v>13505</v>
      </c>
      <c r="L4246" s="5">
        <v>62100</v>
      </c>
    </row>
    <row r="4247" spans="1:12" x14ac:dyDescent="0.25">
      <c r="A4247" s="3" t="s">
        <v>10786</v>
      </c>
      <c r="B4247" s="4" t="s">
        <v>13292</v>
      </c>
      <c r="C4247" s="4" t="s">
        <v>14</v>
      </c>
      <c r="D4247" s="4" t="s">
        <v>15</v>
      </c>
      <c r="E4247" s="5" t="str">
        <f>"9440023"</f>
        <v>9440023</v>
      </c>
      <c r="F4247" s="3" t="s">
        <v>13506</v>
      </c>
      <c r="G4247" s="5">
        <v>2322061204</v>
      </c>
      <c r="H4247" s="4" t="s">
        <v>13507</v>
      </c>
      <c r="I4247" s="4" t="s">
        <v>13395</v>
      </c>
      <c r="J4247" s="4" t="s">
        <v>13508</v>
      </c>
      <c r="K4247" s="4" t="s">
        <v>13509</v>
      </c>
      <c r="L4247" s="5">
        <v>62200</v>
      </c>
    </row>
    <row r="4248" spans="1:12" x14ac:dyDescent="0.25">
      <c r="A4248" s="3" t="s">
        <v>10786</v>
      </c>
      <c r="B4248" s="4" t="s">
        <v>13292</v>
      </c>
      <c r="C4248" s="4" t="s">
        <v>14</v>
      </c>
      <c r="D4248" s="4" t="s">
        <v>15</v>
      </c>
      <c r="E4248" s="5" t="str">
        <f>"9440126"</f>
        <v>9440126</v>
      </c>
      <c r="F4248" s="3" t="s">
        <v>13510</v>
      </c>
      <c r="G4248" s="5">
        <v>2321041244</v>
      </c>
      <c r="H4248" s="4" t="s">
        <v>13511</v>
      </c>
      <c r="I4248" s="4" t="s">
        <v>13295</v>
      </c>
      <c r="J4248" s="4" t="s">
        <v>13512</v>
      </c>
      <c r="K4248" s="4" t="s">
        <v>13513</v>
      </c>
      <c r="L4248" s="5">
        <v>62100</v>
      </c>
    </row>
    <row r="4249" spans="1:12" x14ac:dyDescent="0.25">
      <c r="A4249" s="3" t="s">
        <v>10786</v>
      </c>
      <c r="B4249" s="4" t="s">
        <v>13292</v>
      </c>
      <c r="C4249" s="4" t="s">
        <v>14</v>
      </c>
      <c r="D4249" s="4" t="s">
        <v>15</v>
      </c>
      <c r="E4249" s="5" t="str">
        <f>"9440077"</f>
        <v>9440077</v>
      </c>
      <c r="F4249" s="3" t="s">
        <v>13514</v>
      </c>
      <c r="G4249" s="5">
        <v>2321022143</v>
      </c>
      <c r="H4249" s="4" t="s">
        <v>13515</v>
      </c>
      <c r="I4249" s="4" t="s">
        <v>13295</v>
      </c>
      <c r="J4249" s="4" t="s">
        <v>13306</v>
      </c>
      <c r="K4249" s="4" t="s">
        <v>13516</v>
      </c>
      <c r="L4249" s="5">
        <v>62122</v>
      </c>
    </row>
    <row r="4250" spans="1:12" x14ac:dyDescent="0.25">
      <c r="A4250" s="3" t="s">
        <v>10786</v>
      </c>
      <c r="B4250" s="4" t="s">
        <v>13292</v>
      </c>
      <c r="C4250" s="4" t="s">
        <v>14</v>
      </c>
      <c r="D4250" s="4" t="s">
        <v>15</v>
      </c>
      <c r="E4250" s="5" t="str">
        <f>"9440212"</f>
        <v>9440212</v>
      </c>
      <c r="F4250" s="3" t="s">
        <v>13517</v>
      </c>
      <c r="G4250" s="5">
        <v>2323023180</v>
      </c>
      <c r="H4250" s="4" t="s">
        <v>13518</v>
      </c>
      <c r="I4250" s="4" t="s">
        <v>13386</v>
      </c>
      <c r="J4250" s="4" t="s">
        <v>13439</v>
      </c>
      <c r="K4250" s="4" t="s">
        <v>13519</v>
      </c>
      <c r="L4250" s="5">
        <v>62300</v>
      </c>
    </row>
    <row r="4251" spans="1:12" x14ac:dyDescent="0.25">
      <c r="A4251" s="3" t="s">
        <v>10786</v>
      </c>
      <c r="B4251" s="4" t="s">
        <v>13292</v>
      </c>
      <c r="C4251" s="4" t="s">
        <v>14</v>
      </c>
      <c r="D4251" s="4" t="s">
        <v>15</v>
      </c>
      <c r="E4251" s="5" t="str">
        <f>"9440417"</f>
        <v>9440417</v>
      </c>
      <c r="F4251" s="3" t="s">
        <v>13520</v>
      </c>
      <c r="G4251" s="5">
        <v>2321023108</v>
      </c>
      <c r="H4251" s="4" t="s">
        <v>13521</v>
      </c>
      <c r="I4251" s="4" t="s">
        <v>13295</v>
      </c>
      <c r="J4251" s="4" t="s">
        <v>13522</v>
      </c>
      <c r="K4251" s="4" t="s">
        <v>12651</v>
      </c>
      <c r="L4251" s="5">
        <v>62122</v>
      </c>
    </row>
    <row r="4252" spans="1:12" x14ac:dyDescent="0.25">
      <c r="A4252" s="3" t="s">
        <v>10786</v>
      </c>
      <c r="B4252" s="4" t="s">
        <v>13292</v>
      </c>
      <c r="C4252" s="4" t="s">
        <v>14</v>
      </c>
      <c r="D4252" s="4" t="s">
        <v>15</v>
      </c>
      <c r="E4252" s="5" t="str">
        <f>"9440430"</f>
        <v>9440430</v>
      </c>
      <c r="F4252" s="3" t="s">
        <v>13523</v>
      </c>
      <c r="G4252" s="5">
        <v>2321058703</v>
      </c>
      <c r="H4252" s="4" t="s">
        <v>13524</v>
      </c>
      <c r="I4252" s="4" t="s">
        <v>13295</v>
      </c>
      <c r="J4252" s="4" t="s">
        <v>13295</v>
      </c>
      <c r="K4252" s="4" t="s">
        <v>13525</v>
      </c>
      <c r="L4252" s="5">
        <v>62123</v>
      </c>
    </row>
    <row r="4253" spans="1:12" x14ac:dyDescent="0.25">
      <c r="A4253" s="3" t="s">
        <v>10786</v>
      </c>
      <c r="B4253" s="4" t="s">
        <v>13292</v>
      </c>
      <c r="C4253" s="4" t="s">
        <v>14</v>
      </c>
      <c r="D4253" s="4" t="s">
        <v>15</v>
      </c>
      <c r="E4253" s="5" t="str">
        <f>"9440354"</f>
        <v>9440354</v>
      </c>
      <c r="F4253" s="3" t="s">
        <v>13526</v>
      </c>
      <c r="G4253" s="5">
        <v>2321075204</v>
      </c>
      <c r="H4253" s="4" t="s">
        <v>13527</v>
      </c>
      <c r="I4253" s="4" t="s">
        <v>13295</v>
      </c>
      <c r="J4253" s="4" t="s">
        <v>13528</v>
      </c>
      <c r="K4253" s="4" t="s">
        <v>13476</v>
      </c>
      <c r="L4253" s="5">
        <v>62100</v>
      </c>
    </row>
    <row r="4254" spans="1:12" x14ac:dyDescent="0.25">
      <c r="A4254" s="3" t="s">
        <v>10786</v>
      </c>
      <c r="B4254" s="4" t="s">
        <v>13292</v>
      </c>
      <c r="C4254" s="4" t="s">
        <v>14</v>
      </c>
      <c r="D4254" s="4" t="s">
        <v>15</v>
      </c>
      <c r="E4254" s="5" t="str">
        <f>"9440269"</f>
        <v>9440269</v>
      </c>
      <c r="F4254" s="3" t="s">
        <v>13529</v>
      </c>
      <c r="G4254" s="5">
        <v>2325023475</v>
      </c>
      <c r="H4254" s="4" t="s">
        <v>13530</v>
      </c>
      <c r="I4254" s="4" t="s">
        <v>13419</v>
      </c>
      <c r="J4254" s="4" t="s">
        <v>13531</v>
      </c>
      <c r="K4254" s="4" t="s">
        <v>13532</v>
      </c>
      <c r="L4254" s="5">
        <v>62400</v>
      </c>
    </row>
    <row r="4255" spans="1:12" x14ac:dyDescent="0.25">
      <c r="A4255" s="3" t="s">
        <v>10786</v>
      </c>
      <c r="B4255" s="4" t="s">
        <v>13292</v>
      </c>
      <c r="C4255" s="4" t="s">
        <v>14</v>
      </c>
      <c r="D4255" s="4" t="s">
        <v>15</v>
      </c>
      <c r="E4255" s="5" t="str">
        <f>"9440132"</f>
        <v>9440132</v>
      </c>
      <c r="F4255" s="3" t="s">
        <v>13533</v>
      </c>
      <c r="G4255" s="5">
        <v>2321074409</v>
      </c>
      <c r="H4255" s="4" t="s">
        <v>13534</v>
      </c>
      <c r="I4255" s="4" t="s">
        <v>13364</v>
      </c>
      <c r="J4255" s="4" t="s">
        <v>13535</v>
      </c>
      <c r="K4255" s="4" t="s">
        <v>13535</v>
      </c>
      <c r="L4255" s="5">
        <v>62046</v>
      </c>
    </row>
    <row r="4256" spans="1:12" x14ac:dyDescent="0.25">
      <c r="A4256" s="3" t="s">
        <v>10786</v>
      </c>
      <c r="B4256" s="4" t="s">
        <v>13292</v>
      </c>
      <c r="C4256" s="4" t="s">
        <v>14</v>
      </c>
      <c r="D4256" s="4" t="s">
        <v>15</v>
      </c>
      <c r="E4256" s="5" t="str">
        <f>"9440187"</f>
        <v>9440187</v>
      </c>
      <c r="F4256" s="3" t="s">
        <v>13536</v>
      </c>
      <c r="G4256" s="5">
        <v>2321081215</v>
      </c>
      <c r="H4256" s="4" t="s">
        <v>13537</v>
      </c>
      <c r="I4256" s="4" t="s">
        <v>13419</v>
      </c>
      <c r="J4256" s="4" t="s">
        <v>13538</v>
      </c>
      <c r="K4256" s="4" t="s">
        <v>13539</v>
      </c>
      <c r="L4256" s="5">
        <v>62100</v>
      </c>
    </row>
    <row r="4257" spans="1:12" x14ac:dyDescent="0.25">
      <c r="A4257" s="3" t="s">
        <v>10786</v>
      </c>
      <c r="B4257" s="4" t="s">
        <v>13292</v>
      </c>
      <c r="C4257" s="4" t="s">
        <v>14</v>
      </c>
      <c r="D4257" s="4" t="s">
        <v>15</v>
      </c>
      <c r="E4257" s="5" t="str">
        <f>"9440064"</f>
        <v>9440064</v>
      </c>
      <c r="F4257" s="3" t="s">
        <v>13540</v>
      </c>
      <c r="G4257" s="5">
        <v>2321352160</v>
      </c>
      <c r="H4257" s="4" t="s">
        <v>13541</v>
      </c>
      <c r="I4257" s="4" t="s">
        <v>13419</v>
      </c>
      <c r="J4257" s="4" t="s">
        <v>13542</v>
      </c>
      <c r="K4257" s="4" t="s">
        <v>13543</v>
      </c>
      <c r="L4257" s="5">
        <v>62054</v>
      </c>
    </row>
    <row r="4258" spans="1:12" x14ac:dyDescent="0.25">
      <c r="A4258" s="3" t="s">
        <v>10786</v>
      </c>
      <c r="B4258" s="4" t="s">
        <v>13292</v>
      </c>
      <c r="C4258" s="4" t="s">
        <v>14</v>
      </c>
      <c r="D4258" s="4" t="s">
        <v>15</v>
      </c>
      <c r="E4258" s="5" t="str">
        <f>"9440136"</f>
        <v>9440136</v>
      </c>
      <c r="F4258" s="3" t="s">
        <v>13544</v>
      </c>
      <c r="G4258" s="5">
        <v>2325022377</v>
      </c>
      <c r="H4258" s="4" t="s">
        <v>13545</v>
      </c>
      <c r="I4258" s="4" t="s">
        <v>13419</v>
      </c>
      <c r="J4258" s="4" t="s">
        <v>13546</v>
      </c>
      <c r="K4258" s="4" t="s">
        <v>13547</v>
      </c>
      <c r="L4258" s="5">
        <v>62400</v>
      </c>
    </row>
    <row r="4259" spans="1:12" x14ac:dyDescent="0.25">
      <c r="A4259" s="3" t="s">
        <v>10786</v>
      </c>
      <c r="B4259" s="4" t="s">
        <v>13292</v>
      </c>
      <c r="C4259" s="4" t="s">
        <v>14</v>
      </c>
      <c r="D4259" s="4" t="s">
        <v>15</v>
      </c>
      <c r="E4259" s="5" t="str">
        <f>"9440401"</f>
        <v>9440401</v>
      </c>
      <c r="F4259" s="3" t="s">
        <v>13548</v>
      </c>
      <c r="G4259" s="5">
        <v>2325023968</v>
      </c>
      <c r="H4259" s="4" t="s">
        <v>13549</v>
      </c>
      <c r="I4259" s="4" t="s">
        <v>13419</v>
      </c>
      <c r="J4259" s="4" t="s">
        <v>13546</v>
      </c>
      <c r="K4259" s="4" t="s">
        <v>13550</v>
      </c>
      <c r="L4259" s="5">
        <v>62400</v>
      </c>
    </row>
    <row r="4260" spans="1:12" x14ac:dyDescent="0.25">
      <c r="A4260" s="3" t="s">
        <v>10786</v>
      </c>
      <c r="B4260" s="4" t="s">
        <v>13292</v>
      </c>
      <c r="C4260" s="4" t="s">
        <v>14</v>
      </c>
      <c r="D4260" s="4" t="s">
        <v>15</v>
      </c>
      <c r="E4260" s="5" t="str">
        <f>"9521119"</f>
        <v>9521119</v>
      </c>
      <c r="F4260" s="3" t="s">
        <v>13551</v>
      </c>
      <c r="G4260" s="5">
        <v>2321038655</v>
      </c>
      <c r="H4260" s="4" t="s">
        <v>13552</v>
      </c>
      <c r="I4260" s="4" t="s">
        <v>13295</v>
      </c>
      <c r="J4260" s="4" t="s">
        <v>13306</v>
      </c>
      <c r="K4260" s="4" t="s">
        <v>13307</v>
      </c>
      <c r="L4260" s="5">
        <v>62110</v>
      </c>
    </row>
    <row r="4261" spans="1:12" ht="30" x14ac:dyDescent="0.25">
      <c r="A4261" s="3" t="s">
        <v>10786</v>
      </c>
      <c r="B4261" s="4" t="s">
        <v>13292</v>
      </c>
      <c r="C4261" s="4" t="s">
        <v>14</v>
      </c>
      <c r="D4261" s="4" t="s">
        <v>830</v>
      </c>
      <c r="E4261" s="5" t="str">
        <f>"9521475"</f>
        <v>9521475</v>
      </c>
      <c r="F4261" s="3" t="s">
        <v>13553</v>
      </c>
      <c r="G4261" s="5">
        <v>2321050060</v>
      </c>
      <c r="H4261" s="4" t="s">
        <v>13554</v>
      </c>
      <c r="I4261" s="4" t="s">
        <v>13295</v>
      </c>
      <c r="J4261" s="4" t="s">
        <v>13306</v>
      </c>
      <c r="K4261" s="4" t="s">
        <v>13555</v>
      </c>
      <c r="L4261" s="5">
        <v>62125</v>
      </c>
    </row>
    <row r="4262" spans="1:12" x14ac:dyDescent="0.25">
      <c r="A4262" s="3" t="s">
        <v>10786</v>
      </c>
      <c r="B4262" s="4" t="s">
        <v>13556</v>
      </c>
      <c r="C4262" s="4" t="s">
        <v>14</v>
      </c>
      <c r="D4262" s="4" t="s">
        <v>15</v>
      </c>
      <c r="E4262" s="5" t="str">
        <f>"9490086"</f>
        <v>9490086</v>
      </c>
      <c r="F4262" s="3" t="s">
        <v>13557</v>
      </c>
      <c r="G4262" s="5">
        <v>2375350328</v>
      </c>
      <c r="H4262" s="4" t="s">
        <v>13558</v>
      </c>
      <c r="I4262" s="4" t="s">
        <v>13559</v>
      </c>
      <c r="J4262" s="4" t="s">
        <v>13560</v>
      </c>
      <c r="K4262" s="4" t="s">
        <v>13560</v>
      </c>
      <c r="L4262" s="5">
        <v>63078</v>
      </c>
    </row>
    <row r="4263" spans="1:12" x14ac:dyDescent="0.25">
      <c r="A4263" s="3" t="s">
        <v>10786</v>
      </c>
      <c r="B4263" s="4" t="s">
        <v>13556</v>
      </c>
      <c r="C4263" s="4" t="s">
        <v>14</v>
      </c>
      <c r="D4263" s="4" t="s">
        <v>15</v>
      </c>
      <c r="E4263" s="5" t="str">
        <f>"9490053"</f>
        <v>9490053</v>
      </c>
      <c r="F4263" s="3" t="s">
        <v>13561</v>
      </c>
      <c r="G4263" s="5">
        <v>2375042107</v>
      </c>
      <c r="H4263" s="4" t="s">
        <v>13562</v>
      </c>
      <c r="I4263" s="4" t="s">
        <v>13559</v>
      </c>
      <c r="J4263" s="4" t="s">
        <v>13563</v>
      </c>
      <c r="K4263" s="4" t="s">
        <v>13563</v>
      </c>
      <c r="L4263" s="5">
        <v>63072</v>
      </c>
    </row>
    <row r="4264" spans="1:12" x14ac:dyDescent="0.25">
      <c r="A4264" s="3" t="s">
        <v>10786</v>
      </c>
      <c r="B4264" s="4" t="s">
        <v>13556</v>
      </c>
      <c r="C4264" s="4" t="s">
        <v>14</v>
      </c>
      <c r="D4264" s="4" t="s">
        <v>15</v>
      </c>
      <c r="E4264" s="5" t="str">
        <f>"9490039"</f>
        <v>9490039</v>
      </c>
      <c r="F4264" s="3" t="s">
        <v>13564</v>
      </c>
      <c r="G4264" s="5">
        <v>2375022272</v>
      </c>
      <c r="H4264" s="4" t="s">
        <v>13565</v>
      </c>
      <c r="I4264" s="4" t="s">
        <v>13559</v>
      </c>
      <c r="J4264" s="4" t="s">
        <v>13566</v>
      </c>
      <c r="K4264" s="4" t="s">
        <v>13567</v>
      </c>
      <c r="L4264" s="5">
        <v>63088</v>
      </c>
    </row>
    <row r="4265" spans="1:12" x14ac:dyDescent="0.25">
      <c r="A4265" s="3" t="s">
        <v>10786</v>
      </c>
      <c r="B4265" s="4" t="s">
        <v>13556</v>
      </c>
      <c r="C4265" s="4" t="s">
        <v>14</v>
      </c>
      <c r="D4265" s="4" t="s">
        <v>15</v>
      </c>
      <c r="E4265" s="5" t="str">
        <f>"9490007"</f>
        <v>9490007</v>
      </c>
      <c r="F4265" s="3" t="s">
        <v>13568</v>
      </c>
      <c r="G4265" s="5">
        <v>2371022351</v>
      </c>
      <c r="H4265" s="4" t="s">
        <v>13569</v>
      </c>
      <c r="I4265" s="4" t="s">
        <v>13570</v>
      </c>
      <c r="J4265" s="4" t="s">
        <v>13571</v>
      </c>
      <c r="K4265" s="4" t="s">
        <v>13572</v>
      </c>
      <c r="L4265" s="5">
        <v>63100</v>
      </c>
    </row>
    <row r="4266" spans="1:12" x14ac:dyDescent="0.25">
      <c r="A4266" s="3" t="s">
        <v>10786</v>
      </c>
      <c r="B4266" s="4" t="s">
        <v>13556</v>
      </c>
      <c r="C4266" s="4" t="s">
        <v>14</v>
      </c>
      <c r="D4266" s="4" t="s">
        <v>15</v>
      </c>
      <c r="E4266" s="5" t="str">
        <f>"9490070"</f>
        <v>9490070</v>
      </c>
      <c r="F4266" s="3" t="s">
        <v>13573</v>
      </c>
      <c r="G4266" s="5">
        <v>2372031313</v>
      </c>
      <c r="H4266" s="4" t="s">
        <v>13574</v>
      </c>
      <c r="I4266" s="4" t="s">
        <v>13575</v>
      </c>
      <c r="J4266" s="4" t="s">
        <v>13576</v>
      </c>
      <c r="K4266" s="4" t="s">
        <v>13577</v>
      </c>
      <c r="L4266" s="5">
        <v>63076</v>
      </c>
    </row>
    <row r="4267" spans="1:12" x14ac:dyDescent="0.25">
      <c r="A4267" s="3" t="s">
        <v>10786</v>
      </c>
      <c r="B4267" s="4" t="s">
        <v>13556</v>
      </c>
      <c r="C4267" s="4" t="s">
        <v>14</v>
      </c>
      <c r="D4267" s="4" t="s">
        <v>15</v>
      </c>
      <c r="E4267" s="5" t="str">
        <f>"9490004"</f>
        <v>9490004</v>
      </c>
      <c r="F4267" s="3" t="s">
        <v>13578</v>
      </c>
      <c r="G4267" s="5">
        <v>2371051122</v>
      </c>
      <c r="H4267" s="4" t="s">
        <v>13579</v>
      </c>
      <c r="I4267" s="4" t="s">
        <v>13570</v>
      </c>
      <c r="J4267" s="4" t="s">
        <v>13580</v>
      </c>
      <c r="K4267" s="4" t="s">
        <v>13581</v>
      </c>
      <c r="L4267" s="5">
        <v>63100</v>
      </c>
    </row>
    <row r="4268" spans="1:12" x14ac:dyDescent="0.25">
      <c r="A4268" s="3" t="s">
        <v>10786</v>
      </c>
      <c r="B4268" s="4" t="s">
        <v>13556</v>
      </c>
      <c r="C4268" s="4" t="s">
        <v>14</v>
      </c>
      <c r="D4268" s="4" t="s">
        <v>15</v>
      </c>
      <c r="E4268" s="5" t="str">
        <f>"9490163"</f>
        <v>9490163</v>
      </c>
      <c r="F4268" s="3" t="s">
        <v>13582</v>
      </c>
      <c r="G4268" s="5">
        <v>2371023915</v>
      </c>
      <c r="H4268" s="4" t="s">
        <v>13583</v>
      </c>
      <c r="I4268" s="4" t="s">
        <v>13570</v>
      </c>
      <c r="J4268" s="4" t="s">
        <v>13571</v>
      </c>
      <c r="K4268" s="4" t="s">
        <v>13571</v>
      </c>
      <c r="L4268" s="5">
        <v>63100</v>
      </c>
    </row>
    <row r="4269" spans="1:12" x14ac:dyDescent="0.25">
      <c r="A4269" s="3" t="s">
        <v>10786</v>
      </c>
      <c r="B4269" s="4" t="s">
        <v>13556</v>
      </c>
      <c r="C4269" s="4" t="s">
        <v>25</v>
      </c>
      <c r="D4269" s="4" t="s">
        <v>26</v>
      </c>
      <c r="E4269" s="5" t="str">
        <f>"9490365"</f>
        <v>9490365</v>
      </c>
      <c r="F4269" s="3" t="s">
        <v>13584</v>
      </c>
      <c r="G4269" s="5">
        <v>2374022150</v>
      </c>
      <c r="H4269" s="4" t="s">
        <v>13585</v>
      </c>
      <c r="I4269" s="4" t="s">
        <v>13586</v>
      </c>
      <c r="J4269" s="4" t="s">
        <v>13587</v>
      </c>
      <c r="K4269" s="4" t="s">
        <v>13588</v>
      </c>
      <c r="L4269" s="5">
        <v>63077</v>
      </c>
    </row>
    <row r="4270" spans="1:12" x14ac:dyDescent="0.25">
      <c r="A4270" s="3" t="s">
        <v>10786</v>
      </c>
      <c r="B4270" s="4" t="s">
        <v>13556</v>
      </c>
      <c r="C4270" s="4" t="s">
        <v>25</v>
      </c>
      <c r="D4270" s="4" t="s">
        <v>26</v>
      </c>
      <c r="E4270" s="5" t="str">
        <f>"9520872"</f>
        <v>9520872</v>
      </c>
      <c r="F4270" s="3" t="s">
        <v>13589</v>
      </c>
      <c r="G4270" s="5">
        <v>2373026636</v>
      </c>
      <c r="H4270" s="4" t="s">
        <v>13590</v>
      </c>
      <c r="I4270" s="4" t="s">
        <v>13591</v>
      </c>
      <c r="J4270" s="4" t="s">
        <v>13592</v>
      </c>
      <c r="K4270" s="4" t="s">
        <v>13593</v>
      </c>
      <c r="L4270" s="5">
        <v>63200</v>
      </c>
    </row>
    <row r="4271" spans="1:12" x14ac:dyDescent="0.25">
      <c r="A4271" s="3" t="s">
        <v>10786</v>
      </c>
      <c r="B4271" s="4" t="s">
        <v>13556</v>
      </c>
      <c r="C4271" s="4" t="s">
        <v>25</v>
      </c>
      <c r="D4271" s="4" t="s">
        <v>26</v>
      </c>
      <c r="E4271" s="5" t="str">
        <f>"9490061"</f>
        <v>9490061</v>
      </c>
      <c r="F4271" s="3" t="s">
        <v>13594</v>
      </c>
      <c r="G4271" s="5">
        <v>2372022562</v>
      </c>
      <c r="H4271" s="4" t="s">
        <v>13595</v>
      </c>
      <c r="I4271" s="4" t="s">
        <v>13575</v>
      </c>
      <c r="J4271" s="4" t="s">
        <v>13596</v>
      </c>
      <c r="K4271" s="4" t="s">
        <v>13596</v>
      </c>
      <c r="L4271" s="5">
        <v>63074</v>
      </c>
    </row>
    <row r="4272" spans="1:12" x14ac:dyDescent="0.25">
      <c r="A4272" s="3" t="s">
        <v>10786</v>
      </c>
      <c r="B4272" s="4" t="s">
        <v>13556</v>
      </c>
      <c r="C4272" s="4" t="s">
        <v>25</v>
      </c>
      <c r="D4272" s="4" t="s">
        <v>26</v>
      </c>
      <c r="E4272" s="5" t="str">
        <f>"9490095"</f>
        <v>9490095</v>
      </c>
      <c r="F4272" s="3" t="s">
        <v>13597</v>
      </c>
      <c r="G4272" s="5">
        <v>2371031088</v>
      </c>
      <c r="H4272" s="4" t="s">
        <v>13598</v>
      </c>
      <c r="I4272" s="4" t="s">
        <v>13570</v>
      </c>
      <c r="J4272" s="4" t="s">
        <v>13599</v>
      </c>
      <c r="K4272" s="4" t="s">
        <v>13599</v>
      </c>
      <c r="L4272" s="5">
        <v>63073</v>
      </c>
    </row>
    <row r="4273" spans="1:12" x14ac:dyDescent="0.25">
      <c r="A4273" s="3" t="s">
        <v>10786</v>
      </c>
      <c r="B4273" s="4" t="s">
        <v>13556</v>
      </c>
      <c r="C4273" s="4" t="s">
        <v>25</v>
      </c>
      <c r="D4273" s="4" t="s">
        <v>26</v>
      </c>
      <c r="E4273" s="5" t="str">
        <f>"9490032"</f>
        <v>9490032</v>
      </c>
      <c r="F4273" s="3" t="s">
        <v>13600</v>
      </c>
      <c r="G4273" s="5">
        <v>2373051861</v>
      </c>
      <c r="H4273" s="4" t="s">
        <v>13601</v>
      </c>
      <c r="I4273" s="4" t="s">
        <v>13591</v>
      </c>
      <c r="J4273" s="4" t="s">
        <v>13602</v>
      </c>
      <c r="K4273" s="4" t="s">
        <v>13602</v>
      </c>
      <c r="L4273" s="5">
        <v>63079</v>
      </c>
    </row>
    <row r="4274" spans="1:12" x14ac:dyDescent="0.25">
      <c r="A4274" s="3" t="s">
        <v>10786</v>
      </c>
      <c r="B4274" s="4" t="s">
        <v>13556</v>
      </c>
      <c r="C4274" s="4" t="s">
        <v>25</v>
      </c>
      <c r="D4274" s="4" t="s">
        <v>26</v>
      </c>
      <c r="E4274" s="5" t="str">
        <f>"9520795"</f>
        <v>9520795</v>
      </c>
      <c r="F4274" s="3" t="s">
        <v>13603</v>
      </c>
      <c r="G4274" s="5">
        <v>2399021602</v>
      </c>
      <c r="H4274" s="4" t="s">
        <v>13604</v>
      </c>
      <c r="I4274" s="4" t="s">
        <v>13591</v>
      </c>
      <c r="J4274" s="4" t="s">
        <v>13605</v>
      </c>
      <c r="K4274" s="4" t="s">
        <v>13606</v>
      </c>
      <c r="L4274" s="5">
        <v>63080</v>
      </c>
    </row>
    <row r="4275" spans="1:12" x14ac:dyDescent="0.25">
      <c r="A4275" s="3" t="s">
        <v>10786</v>
      </c>
      <c r="B4275" s="4" t="s">
        <v>13556</v>
      </c>
      <c r="C4275" s="4" t="s">
        <v>14</v>
      </c>
      <c r="D4275" s="4" t="s">
        <v>15</v>
      </c>
      <c r="E4275" s="5" t="str">
        <f>"9490356"</f>
        <v>9490356</v>
      </c>
      <c r="F4275" s="3" t="s">
        <v>13607</v>
      </c>
      <c r="G4275" s="5">
        <v>2377023998</v>
      </c>
      <c r="H4275" s="4" t="s">
        <v>13608</v>
      </c>
      <c r="I4275" s="4" t="s">
        <v>13575</v>
      </c>
      <c r="J4275" s="4" t="s">
        <v>13609</v>
      </c>
      <c r="K4275" s="4" t="s">
        <v>13610</v>
      </c>
      <c r="L4275" s="5">
        <v>63075</v>
      </c>
    </row>
    <row r="4276" spans="1:12" x14ac:dyDescent="0.25">
      <c r="A4276" s="3" t="s">
        <v>10786</v>
      </c>
      <c r="B4276" s="4" t="s">
        <v>13556</v>
      </c>
      <c r="C4276" s="4" t="s">
        <v>25</v>
      </c>
      <c r="D4276" s="4" t="s">
        <v>26</v>
      </c>
      <c r="E4276" s="5" t="str">
        <f>"9490065"</f>
        <v>9490065</v>
      </c>
      <c r="F4276" s="3" t="s">
        <v>13611</v>
      </c>
      <c r="G4276" s="5">
        <v>2377022790</v>
      </c>
      <c r="H4276" s="4" t="s">
        <v>13612</v>
      </c>
      <c r="I4276" s="4" t="s">
        <v>13575</v>
      </c>
      <c r="J4276" s="4" t="s">
        <v>13613</v>
      </c>
      <c r="K4276" s="4" t="s">
        <v>13614</v>
      </c>
      <c r="L4276" s="5">
        <v>63075</v>
      </c>
    </row>
    <row r="4277" spans="1:12" x14ac:dyDescent="0.25">
      <c r="A4277" s="3" t="s">
        <v>10786</v>
      </c>
      <c r="B4277" s="4" t="s">
        <v>13556</v>
      </c>
      <c r="C4277" s="4" t="s">
        <v>25</v>
      </c>
      <c r="D4277" s="4" t="s">
        <v>26</v>
      </c>
      <c r="E4277" s="5" t="str">
        <f>"9490043"</f>
        <v>9490043</v>
      </c>
      <c r="F4277" s="3" t="s">
        <v>13615</v>
      </c>
      <c r="G4277" s="5">
        <v>2371042083</v>
      </c>
      <c r="H4277" s="4" t="s">
        <v>13616</v>
      </c>
      <c r="I4277" s="4" t="s">
        <v>13570</v>
      </c>
      <c r="J4277" s="4" t="s">
        <v>13617</v>
      </c>
      <c r="K4277" s="4" t="s">
        <v>13617</v>
      </c>
      <c r="L4277" s="5">
        <v>63071</v>
      </c>
    </row>
    <row r="4278" spans="1:12" x14ac:dyDescent="0.25">
      <c r="A4278" s="3" t="s">
        <v>10786</v>
      </c>
      <c r="B4278" s="4" t="s">
        <v>13556</v>
      </c>
      <c r="C4278" s="4" t="s">
        <v>25</v>
      </c>
      <c r="D4278" s="4" t="s">
        <v>26</v>
      </c>
      <c r="E4278" s="5" t="str">
        <f>"9490002"</f>
        <v>9490002</v>
      </c>
      <c r="F4278" s="3" t="s">
        <v>13618</v>
      </c>
      <c r="G4278" s="5">
        <v>2373022628</v>
      </c>
      <c r="H4278" s="4" t="s">
        <v>13619</v>
      </c>
      <c r="I4278" s="4" t="s">
        <v>13591</v>
      </c>
      <c r="J4278" s="4" t="s">
        <v>13620</v>
      </c>
      <c r="K4278" s="4" t="s">
        <v>13621</v>
      </c>
      <c r="L4278" s="5">
        <v>63200</v>
      </c>
    </row>
    <row r="4279" spans="1:12" x14ac:dyDescent="0.25">
      <c r="A4279" s="3" t="s">
        <v>10786</v>
      </c>
      <c r="B4279" s="4" t="s">
        <v>13556</v>
      </c>
      <c r="C4279" s="4" t="s">
        <v>25</v>
      </c>
      <c r="D4279" s="4" t="s">
        <v>26</v>
      </c>
      <c r="E4279" s="5" t="str">
        <f>"9490054"</f>
        <v>9490054</v>
      </c>
      <c r="F4279" s="3" t="s">
        <v>13622</v>
      </c>
      <c r="G4279" s="5">
        <v>2375041635</v>
      </c>
      <c r="H4279" s="4" t="s">
        <v>13623</v>
      </c>
      <c r="I4279" s="4" t="s">
        <v>13559</v>
      </c>
      <c r="J4279" s="4" t="s">
        <v>13563</v>
      </c>
      <c r="K4279" s="4" t="s">
        <v>13563</v>
      </c>
      <c r="L4279" s="5">
        <v>63072</v>
      </c>
    </row>
    <row r="4280" spans="1:12" x14ac:dyDescent="0.25">
      <c r="A4280" s="3" t="s">
        <v>10786</v>
      </c>
      <c r="B4280" s="4" t="s">
        <v>13556</v>
      </c>
      <c r="C4280" s="4" t="s">
        <v>25</v>
      </c>
      <c r="D4280" s="4" t="s">
        <v>26</v>
      </c>
      <c r="E4280" s="5" t="str">
        <f>"9490087"</f>
        <v>9490087</v>
      </c>
      <c r="F4280" s="3" t="s">
        <v>13624</v>
      </c>
      <c r="G4280" s="5">
        <v>2375031401</v>
      </c>
      <c r="H4280" s="4" t="s">
        <v>13625</v>
      </c>
      <c r="I4280" s="4" t="s">
        <v>13559</v>
      </c>
      <c r="J4280" s="4" t="s">
        <v>13560</v>
      </c>
      <c r="K4280" s="4" t="s">
        <v>13560</v>
      </c>
      <c r="L4280" s="5">
        <v>63078</v>
      </c>
    </row>
    <row r="4281" spans="1:12" ht="30" x14ac:dyDescent="0.25">
      <c r="A4281" s="3" t="s">
        <v>10786</v>
      </c>
      <c r="B4281" s="4" t="s">
        <v>13556</v>
      </c>
      <c r="C4281" s="4" t="s">
        <v>25</v>
      </c>
      <c r="D4281" s="4" t="s">
        <v>26</v>
      </c>
      <c r="E4281" s="5" t="str">
        <f>"9490110"</f>
        <v>9490110</v>
      </c>
      <c r="F4281" s="3" t="s">
        <v>13626</v>
      </c>
      <c r="G4281" s="5">
        <v>2375072138</v>
      </c>
      <c r="H4281" s="4" t="s">
        <v>13627</v>
      </c>
      <c r="I4281" s="4" t="s">
        <v>13559</v>
      </c>
      <c r="J4281" s="4" t="s">
        <v>13628</v>
      </c>
      <c r="K4281" s="4" t="s">
        <v>13628</v>
      </c>
      <c r="L4281" s="5">
        <v>63081</v>
      </c>
    </row>
    <row r="4282" spans="1:12" x14ac:dyDescent="0.25">
      <c r="A4282" s="3" t="s">
        <v>10786</v>
      </c>
      <c r="B4282" s="4" t="s">
        <v>13556</v>
      </c>
      <c r="C4282" s="4" t="s">
        <v>25</v>
      </c>
      <c r="D4282" s="4" t="s">
        <v>26</v>
      </c>
      <c r="E4282" s="5" t="str">
        <f>"9490338"</f>
        <v>9490338</v>
      </c>
      <c r="F4282" s="3" t="s">
        <v>13629</v>
      </c>
      <c r="G4282" s="5">
        <v>2371023810</v>
      </c>
      <c r="H4282" s="4" t="s">
        <v>13630</v>
      </c>
      <c r="I4282" s="4" t="s">
        <v>13570</v>
      </c>
      <c r="J4282" s="4" t="s">
        <v>13631</v>
      </c>
      <c r="K4282" s="4" t="s">
        <v>2693</v>
      </c>
      <c r="L4282" s="5">
        <v>63100</v>
      </c>
    </row>
    <row r="4283" spans="1:12" x14ac:dyDescent="0.25">
      <c r="A4283" s="3" t="s">
        <v>10786</v>
      </c>
      <c r="B4283" s="4" t="s">
        <v>13556</v>
      </c>
      <c r="C4283" s="4" t="s">
        <v>25</v>
      </c>
      <c r="D4283" s="4" t="s">
        <v>26</v>
      </c>
      <c r="E4283" s="5" t="str">
        <f>"9490115"</f>
        <v>9490115</v>
      </c>
      <c r="F4283" s="3" t="s">
        <v>13632</v>
      </c>
      <c r="G4283" s="5">
        <v>2374081700</v>
      </c>
      <c r="H4283" s="4" t="s">
        <v>13633</v>
      </c>
      <c r="I4283" s="4" t="s">
        <v>13586</v>
      </c>
      <c r="J4283" s="4" t="s">
        <v>13634</v>
      </c>
      <c r="K4283" s="4" t="s">
        <v>13635</v>
      </c>
      <c r="L4283" s="5">
        <v>63077</v>
      </c>
    </row>
    <row r="4284" spans="1:12" x14ac:dyDescent="0.25">
      <c r="A4284" s="3" t="s">
        <v>10786</v>
      </c>
      <c r="B4284" s="4" t="s">
        <v>13556</v>
      </c>
      <c r="C4284" s="4" t="s">
        <v>25</v>
      </c>
      <c r="D4284" s="4" t="s">
        <v>26</v>
      </c>
      <c r="E4284" s="5" t="str">
        <f>"9490112"</f>
        <v>9490112</v>
      </c>
      <c r="F4284" s="3" t="s">
        <v>13636</v>
      </c>
      <c r="G4284" s="5">
        <v>2375023680</v>
      </c>
      <c r="H4284" s="4" t="s">
        <v>13637</v>
      </c>
      <c r="I4284" s="4" t="s">
        <v>13559</v>
      </c>
      <c r="J4284" s="4" t="s">
        <v>13567</v>
      </c>
      <c r="K4284" s="4" t="s">
        <v>13567</v>
      </c>
      <c r="L4284" s="5">
        <v>63088</v>
      </c>
    </row>
    <row r="4285" spans="1:12" x14ac:dyDescent="0.25">
      <c r="A4285" s="3" t="s">
        <v>10786</v>
      </c>
      <c r="B4285" s="4" t="s">
        <v>13556</v>
      </c>
      <c r="C4285" s="4" t="s">
        <v>25</v>
      </c>
      <c r="D4285" s="4" t="s">
        <v>26</v>
      </c>
      <c r="E4285" s="5" t="str">
        <f>"9490340"</f>
        <v>9490340</v>
      </c>
      <c r="F4285" s="3" t="s">
        <v>13638</v>
      </c>
      <c r="G4285" s="5">
        <v>2373024723</v>
      </c>
      <c r="H4285" s="4" t="s">
        <v>13639</v>
      </c>
      <c r="I4285" s="4" t="s">
        <v>13591</v>
      </c>
      <c r="J4285" s="4" t="s">
        <v>13620</v>
      </c>
      <c r="K4285" s="4" t="s">
        <v>13640</v>
      </c>
      <c r="L4285" s="5">
        <v>63200</v>
      </c>
    </row>
    <row r="4286" spans="1:12" x14ac:dyDescent="0.25">
      <c r="A4286" s="3" t="s">
        <v>10786</v>
      </c>
      <c r="B4286" s="4" t="s">
        <v>13556</v>
      </c>
      <c r="C4286" s="4" t="s">
        <v>14</v>
      </c>
      <c r="D4286" s="4" t="s">
        <v>15</v>
      </c>
      <c r="E4286" s="5" t="str">
        <f>"9490075"</f>
        <v>9490075</v>
      </c>
      <c r="F4286" s="3" t="s">
        <v>13641</v>
      </c>
      <c r="G4286" s="5">
        <v>2377071206</v>
      </c>
      <c r="H4286" s="4" t="s">
        <v>13642</v>
      </c>
      <c r="I4286" s="4" t="s">
        <v>13575</v>
      </c>
      <c r="J4286" s="4" t="s">
        <v>13643</v>
      </c>
      <c r="K4286" s="4" t="s">
        <v>13643</v>
      </c>
      <c r="L4286" s="5">
        <v>63075</v>
      </c>
    </row>
    <row r="4287" spans="1:12" x14ac:dyDescent="0.25">
      <c r="A4287" s="3" t="s">
        <v>10786</v>
      </c>
      <c r="B4287" s="4" t="s">
        <v>13556</v>
      </c>
      <c r="C4287" s="4" t="s">
        <v>14</v>
      </c>
      <c r="D4287" s="4" t="s">
        <v>15</v>
      </c>
      <c r="E4287" s="5" t="str">
        <f>"9490035"</f>
        <v>9490035</v>
      </c>
      <c r="F4287" s="3" t="s">
        <v>13644</v>
      </c>
      <c r="G4287" s="5">
        <v>2375350315</v>
      </c>
      <c r="H4287" s="4" t="s">
        <v>13645</v>
      </c>
      <c r="I4287" s="4" t="s">
        <v>13559</v>
      </c>
      <c r="J4287" s="4" t="s">
        <v>13646</v>
      </c>
      <c r="K4287" s="4" t="s">
        <v>13646</v>
      </c>
      <c r="L4287" s="5">
        <v>63081</v>
      </c>
    </row>
    <row r="4288" spans="1:12" x14ac:dyDescent="0.25">
      <c r="A4288" s="3" t="s">
        <v>10786</v>
      </c>
      <c r="B4288" s="4" t="s">
        <v>13556</v>
      </c>
      <c r="C4288" s="4" t="s">
        <v>25</v>
      </c>
      <c r="D4288" s="4" t="s">
        <v>26</v>
      </c>
      <c r="E4288" s="5" t="str">
        <f>"9490069"</f>
        <v>9490069</v>
      </c>
      <c r="F4288" s="3" t="s">
        <v>13647</v>
      </c>
      <c r="G4288" s="5">
        <v>2372032070</v>
      </c>
      <c r="H4288" s="4" t="s">
        <v>13648</v>
      </c>
      <c r="I4288" s="4" t="s">
        <v>13575</v>
      </c>
      <c r="J4288" s="4" t="s">
        <v>13577</v>
      </c>
      <c r="K4288" s="4" t="s">
        <v>13577</v>
      </c>
      <c r="L4288" s="5">
        <v>63076</v>
      </c>
    </row>
    <row r="4289" spans="1:12" x14ac:dyDescent="0.25">
      <c r="A4289" s="3" t="s">
        <v>10786</v>
      </c>
      <c r="B4289" s="4" t="s">
        <v>13556</v>
      </c>
      <c r="C4289" s="4" t="s">
        <v>25</v>
      </c>
      <c r="D4289" s="4" t="s">
        <v>26</v>
      </c>
      <c r="E4289" s="5" t="str">
        <f>"9490056"</f>
        <v>9490056</v>
      </c>
      <c r="F4289" s="3" t="s">
        <v>13649</v>
      </c>
      <c r="G4289" s="5">
        <v>2373031968</v>
      </c>
      <c r="H4289" s="4" t="s">
        <v>13650</v>
      </c>
      <c r="I4289" s="4" t="s">
        <v>13591</v>
      </c>
      <c r="J4289" s="4" t="s">
        <v>13651</v>
      </c>
      <c r="K4289" s="4" t="s">
        <v>13652</v>
      </c>
      <c r="L4289" s="5">
        <v>63200</v>
      </c>
    </row>
    <row r="4290" spans="1:12" x14ac:dyDescent="0.25">
      <c r="A4290" s="3" t="s">
        <v>10786</v>
      </c>
      <c r="B4290" s="4" t="s">
        <v>13556</v>
      </c>
      <c r="C4290" s="4" t="s">
        <v>14</v>
      </c>
      <c r="D4290" s="4" t="s">
        <v>15</v>
      </c>
      <c r="E4290" s="5" t="str">
        <f>"9490350"</f>
        <v>9490350</v>
      </c>
      <c r="F4290" s="3" t="s">
        <v>13653</v>
      </c>
      <c r="G4290" s="5">
        <v>2371024111</v>
      </c>
      <c r="H4290" s="4" t="s">
        <v>13654</v>
      </c>
      <c r="I4290" s="4" t="s">
        <v>13570</v>
      </c>
      <c r="J4290" s="4" t="s">
        <v>13571</v>
      </c>
      <c r="K4290" s="4" t="s">
        <v>13655</v>
      </c>
      <c r="L4290" s="5">
        <v>63100</v>
      </c>
    </row>
    <row r="4291" spans="1:12" x14ac:dyDescent="0.25">
      <c r="A4291" s="3" t="s">
        <v>10786</v>
      </c>
      <c r="B4291" s="4" t="s">
        <v>13556</v>
      </c>
      <c r="C4291" s="4" t="s">
        <v>14</v>
      </c>
      <c r="D4291" s="4" t="s">
        <v>15</v>
      </c>
      <c r="E4291" s="5" t="str">
        <f>"9490042"</f>
        <v>9490042</v>
      </c>
      <c r="F4291" s="3" t="s">
        <v>13656</v>
      </c>
      <c r="G4291" s="5">
        <v>2371041312</v>
      </c>
      <c r="H4291" s="4" t="s">
        <v>13657</v>
      </c>
      <c r="I4291" s="4" t="s">
        <v>13570</v>
      </c>
      <c r="J4291" s="4" t="s">
        <v>13617</v>
      </c>
      <c r="K4291" s="4" t="s">
        <v>13658</v>
      </c>
      <c r="L4291" s="5">
        <v>63071</v>
      </c>
    </row>
    <row r="4292" spans="1:12" x14ac:dyDescent="0.25">
      <c r="A4292" s="3" t="s">
        <v>10786</v>
      </c>
      <c r="B4292" s="4" t="s">
        <v>13556</v>
      </c>
      <c r="C4292" s="4" t="s">
        <v>25</v>
      </c>
      <c r="D4292" s="4" t="s">
        <v>26</v>
      </c>
      <c r="E4292" s="5" t="str">
        <f>"9490147"</f>
        <v>9490147</v>
      </c>
      <c r="F4292" s="3" t="s">
        <v>13659</v>
      </c>
      <c r="G4292" s="5">
        <v>2374061861</v>
      </c>
      <c r="H4292" s="4" t="s">
        <v>13660</v>
      </c>
      <c r="I4292" s="4" t="s">
        <v>13586</v>
      </c>
      <c r="J4292" s="4" t="s">
        <v>13661</v>
      </c>
      <c r="K4292" s="4" t="s">
        <v>13661</v>
      </c>
      <c r="L4292" s="5">
        <v>63085</v>
      </c>
    </row>
    <row r="4293" spans="1:12" x14ac:dyDescent="0.25">
      <c r="A4293" s="3" t="s">
        <v>10786</v>
      </c>
      <c r="B4293" s="4" t="s">
        <v>13556</v>
      </c>
      <c r="C4293" s="4" t="s">
        <v>25</v>
      </c>
      <c r="D4293" s="4" t="s">
        <v>26</v>
      </c>
      <c r="E4293" s="5" t="str">
        <f>"9490127"</f>
        <v>9490127</v>
      </c>
      <c r="F4293" s="3" t="s">
        <v>13662</v>
      </c>
      <c r="G4293" s="5">
        <v>2373024450</v>
      </c>
      <c r="H4293" s="4" t="s">
        <v>13663</v>
      </c>
      <c r="I4293" s="4" t="s">
        <v>13591</v>
      </c>
      <c r="J4293" s="4" t="s">
        <v>13664</v>
      </c>
      <c r="K4293" s="4" t="s">
        <v>13665</v>
      </c>
      <c r="L4293" s="5">
        <v>63200</v>
      </c>
    </row>
    <row r="4294" spans="1:12" x14ac:dyDescent="0.25">
      <c r="A4294" s="3" t="s">
        <v>10786</v>
      </c>
      <c r="B4294" s="4" t="s">
        <v>13556</v>
      </c>
      <c r="C4294" s="4" t="s">
        <v>14</v>
      </c>
      <c r="D4294" s="4" t="s">
        <v>15</v>
      </c>
      <c r="E4294" s="5" t="str">
        <f>"9490001"</f>
        <v>9490001</v>
      </c>
      <c r="F4294" s="3" t="s">
        <v>13666</v>
      </c>
      <c r="G4294" s="5">
        <v>2374061231</v>
      </c>
      <c r="H4294" s="4" t="s">
        <v>13667</v>
      </c>
      <c r="I4294" s="4" t="s">
        <v>13586</v>
      </c>
      <c r="J4294" s="4" t="s">
        <v>13661</v>
      </c>
      <c r="K4294" s="4" t="s">
        <v>13661</v>
      </c>
      <c r="L4294" s="5">
        <v>63085</v>
      </c>
    </row>
    <row r="4295" spans="1:12" x14ac:dyDescent="0.25">
      <c r="A4295" s="3" t="s">
        <v>10786</v>
      </c>
      <c r="B4295" s="4" t="s">
        <v>13556</v>
      </c>
      <c r="C4295" s="4" t="s">
        <v>25</v>
      </c>
      <c r="D4295" s="4" t="s">
        <v>26</v>
      </c>
      <c r="E4295" s="5" t="str">
        <f>"9490121"</f>
        <v>9490121</v>
      </c>
      <c r="F4295" s="3" t="s">
        <v>13668</v>
      </c>
      <c r="G4295" s="5">
        <v>2371023477</v>
      </c>
      <c r="H4295" s="4" t="s">
        <v>13669</v>
      </c>
      <c r="I4295" s="4" t="s">
        <v>13570</v>
      </c>
      <c r="J4295" s="4" t="s">
        <v>13571</v>
      </c>
      <c r="K4295" s="4" t="s">
        <v>13670</v>
      </c>
      <c r="L4295" s="5">
        <v>63100</v>
      </c>
    </row>
    <row r="4296" spans="1:12" x14ac:dyDescent="0.25">
      <c r="A4296" s="3" t="s">
        <v>10786</v>
      </c>
      <c r="B4296" s="4" t="s">
        <v>13556</v>
      </c>
      <c r="C4296" s="4" t="s">
        <v>14</v>
      </c>
      <c r="D4296" s="4" t="s">
        <v>179</v>
      </c>
      <c r="E4296" s="5" t="str">
        <f>"9490062"</f>
        <v>9490062</v>
      </c>
      <c r="F4296" s="3" t="s">
        <v>13671</v>
      </c>
      <c r="G4296" s="5">
        <v>2377051205</v>
      </c>
      <c r="H4296" s="4" t="s">
        <v>13672</v>
      </c>
      <c r="I4296" s="4" t="s">
        <v>13575</v>
      </c>
      <c r="J4296" s="4" t="s">
        <v>13673</v>
      </c>
      <c r="K4296" s="4"/>
      <c r="L4296" s="5">
        <v>63075</v>
      </c>
    </row>
    <row r="4297" spans="1:12" x14ac:dyDescent="0.25">
      <c r="A4297" s="3" t="s">
        <v>10786</v>
      </c>
      <c r="B4297" s="4" t="s">
        <v>13556</v>
      </c>
      <c r="C4297" s="4" t="s">
        <v>14</v>
      </c>
      <c r="D4297" s="4" t="s">
        <v>15</v>
      </c>
      <c r="E4297" s="5" t="str">
        <f>"9490094"</f>
        <v>9490094</v>
      </c>
      <c r="F4297" s="3" t="s">
        <v>13674</v>
      </c>
      <c r="G4297" s="5">
        <v>2371031220</v>
      </c>
      <c r="H4297" s="4" t="s">
        <v>13675</v>
      </c>
      <c r="I4297" s="4" t="s">
        <v>13570</v>
      </c>
      <c r="J4297" s="4" t="s">
        <v>13599</v>
      </c>
      <c r="K4297" s="4" t="s">
        <v>13599</v>
      </c>
      <c r="L4297" s="5">
        <v>63073</v>
      </c>
    </row>
    <row r="4298" spans="1:12" ht="30" x14ac:dyDescent="0.25">
      <c r="A4298" s="3" t="s">
        <v>10786</v>
      </c>
      <c r="B4298" s="4" t="s">
        <v>13556</v>
      </c>
      <c r="C4298" s="4" t="s">
        <v>14</v>
      </c>
      <c r="D4298" s="4" t="s">
        <v>15</v>
      </c>
      <c r="E4298" s="5" t="str">
        <f>"9490066"</f>
        <v>9490066</v>
      </c>
      <c r="F4298" s="3" t="s">
        <v>13676</v>
      </c>
      <c r="G4298" s="5">
        <v>2377022250</v>
      </c>
      <c r="H4298" s="4" t="s">
        <v>13677</v>
      </c>
      <c r="I4298" s="4" t="s">
        <v>13575</v>
      </c>
      <c r="J4298" s="4" t="s">
        <v>13609</v>
      </c>
      <c r="K4298" s="4" t="s">
        <v>13609</v>
      </c>
      <c r="L4298" s="5">
        <v>63075</v>
      </c>
    </row>
    <row r="4299" spans="1:12" x14ac:dyDescent="0.25">
      <c r="A4299" s="3" t="s">
        <v>10786</v>
      </c>
      <c r="B4299" s="4" t="s">
        <v>13556</v>
      </c>
      <c r="C4299" s="4" t="s">
        <v>14</v>
      </c>
      <c r="D4299" s="4" t="s">
        <v>15</v>
      </c>
      <c r="E4299" s="5" t="str">
        <f>"9490077"</f>
        <v>9490077</v>
      </c>
      <c r="F4299" s="3" t="s">
        <v>13678</v>
      </c>
      <c r="G4299" s="5">
        <v>2372041210</v>
      </c>
      <c r="H4299" s="4" t="s">
        <v>13679</v>
      </c>
      <c r="I4299" s="4" t="s">
        <v>13575</v>
      </c>
      <c r="J4299" s="4" t="s">
        <v>13680</v>
      </c>
      <c r="K4299" s="4" t="s">
        <v>13681</v>
      </c>
      <c r="L4299" s="5">
        <v>63074</v>
      </c>
    </row>
    <row r="4300" spans="1:12" x14ac:dyDescent="0.25">
      <c r="A4300" s="3" t="s">
        <v>10786</v>
      </c>
      <c r="B4300" s="4" t="s">
        <v>13556</v>
      </c>
      <c r="C4300" s="4" t="s">
        <v>14</v>
      </c>
      <c r="D4300" s="4" t="s">
        <v>15</v>
      </c>
      <c r="E4300" s="5" t="str">
        <f>"9490080"</f>
        <v>9490080</v>
      </c>
      <c r="F4300" s="3" t="s">
        <v>13682</v>
      </c>
      <c r="G4300" s="5">
        <v>2372061313</v>
      </c>
      <c r="H4300" s="4" t="s">
        <v>13683</v>
      </c>
      <c r="I4300" s="4" t="s">
        <v>13575</v>
      </c>
      <c r="J4300" s="4" t="s">
        <v>13684</v>
      </c>
      <c r="K4300" s="4" t="s">
        <v>13684</v>
      </c>
      <c r="L4300" s="5">
        <v>63074</v>
      </c>
    </row>
    <row r="4301" spans="1:12" x14ac:dyDescent="0.25">
      <c r="A4301" s="3" t="s">
        <v>10786</v>
      </c>
      <c r="B4301" s="4" t="s">
        <v>13556</v>
      </c>
      <c r="C4301" s="4" t="s">
        <v>14</v>
      </c>
      <c r="D4301" s="4" t="s">
        <v>15</v>
      </c>
      <c r="E4301" s="5" t="str">
        <f>"9490009"</f>
        <v>9490009</v>
      </c>
      <c r="F4301" s="3" t="s">
        <v>13685</v>
      </c>
      <c r="G4301" s="5">
        <v>2373091426</v>
      </c>
      <c r="H4301" s="4" t="s">
        <v>13686</v>
      </c>
      <c r="I4301" s="4" t="s">
        <v>13591</v>
      </c>
      <c r="J4301" s="4" t="s">
        <v>13687</v>
      </c>
      <c r="K4301" s="4" t="s">
        <v>13688</v>
      </c>
      <c r="L4301" s="5">
        <v>63200</v>
      </c>
    </row>
    <row r="4302" spans="1:12" x14ac:dyDescent="0.25">
      <c r="A4302" s="3" t="s">
        <v>10786</v>
      </c>
      <c r="B4302" s="4" t="s">
        <v>13556</v>
      </c>
      <c r="C4302" s="4" t="s">
        <v>14</v>
      </c>
      <c r="D4302" s="4" t="s">
        <v>15</v>
      </c>
      <c r="E4302" s="5" t="str">
        <f>"9490013"</f>
        <v>9490013</v>
      </c>
      <c r="F4302" s="3" t="s">
        <v>13689</v>
      </c>
      <c r="G4302" s="5">
        <v>2374091235</v>
      </c>
      <c r="H4302" s="4" t="s">
        <v>13690</v>
      </c>
      <c r="I4302" s="4" t="s">
        <v>13586</v>
      </c>
      <c r="J4302" s="4" t="s">
        <v>13691</v>
      </c>
      <c r="K4302" s="4" t="s">
        <v>13692</v>
      </c>
      <c r="L4302" s="5">
        <v>63077</v>
      </c>
    </row>
    <row r="4303" spans="1:12" x14ac:dyDescent="0.25">
      <c r="A4303" s="3" t="s">
        <v>10786</v>
      </c>
      <c r="B4303" s="4" t="s">
        <v>13556</v>
      </c>
      <c r="C4303" s="4" t="s">
        <v>14</v>
      </c>
      <c r="D4303" s="4" t="s">
        <v>15</v>
      </c>
      <c r="E4303" s="5" t="str">
        <f>"9490358"</f>
        <v>9490358</v>
      </c>
      <c r="F4303" s="3" t="s">
        <v>13693</v>
      </c>
      <c r="G4303" s="5">
        <v>2373025880</v>
      </c>
      <c r="H4303" s="4" t="s">
        <v>13694</v>
      </c>
      <c r="I4303" s="4" t="s">
        <v>13591</v>
      </c>
      <c r="J4303" s="4" t="s">
        <v>13592</v>
      </c>
      <c r="K4303" s="4" t="s">
        <v>13695</v>
      </c>
      <c r="L4303" s="5">
        <v>63200</v>
      </c>
    </row>
    <row r="4304" spans="1:12" x14ac:dyDescent="0.25">
      <c r="A4304" s="3" t="s">
        <v>10786</v>
      </c>
      <c r="B4304" s="4" t="s">
        <v>13556</v>
      </c>
      <c r="C4304" s="4" t="s">
        <v>14</v>
      </c>
      <c r="D4304" s="4" t="s">
        <v>15</v>
      </c>
      <c r="E4304" s="5" t="str">
        <f>"9490349"</f>
        <v>9490349</v>
      </c>
      <c r="F4304" s="3" t="s">
        <v>13696</v>
      </c>
      <c r="G4304" s="5">
        <v>2373051104</v>
      </c>
      <c r="H4304" s="4" t="s">
        <v>13697</v>
      </c>
      <c r="I4304" s="4" t="s">
        <v>13591</v>
      </c>
      <c r="J4304" s="4" t="s">
        <v>13698</v>
      </c>
      <c r="K4304" s="4" t="s">
        <v>13698</v>
      </c>
      <c r="L4304" s="5">
        <v>63079</v>
      </c>
    </row>
    <row r="4305" spans="1:12" x14ac:dyDescent="0.25">
      <c r="A4305" s="3" t="s">
        <v>10786</v>
      </c>
      <c r="B4305" s="4" t="s">
        <v>13556</v>
      </c>
      <c r="C4305" s="4" t="s">
        <v>14</v>
      </c>
      <c r="D4305" s="4" t="s">
        <v>15</v>
      </c>
      <c r="E4305" s="5" t="str">
        <f>"9490033"</f>
        <v>9490033</v>
      </c>
      <c r="F4305" s="3" t="s">
        <v>13699</v>
      </c>
      <c r="G4305" s="5">
        <v>2373051223</v>
      </c>
      <c r="H4305" s="4" t="s">
        <v>13700</v>
      </c>
      <c r="I4305" s="4" t="s">
        <v>13591</v>
      </c>
      <c r="J4305" s="4" t="s">
        <v>13701</v>
      </c>
      <c r="K4305" s="4" t="s">
        <v>13602</v>
      </c>
      <c r="L4305" s="5">
        <v>63079</v>
      </c>
    </row>
    <row r="4306" spans="1:12" x14ac:dyDescent="0.25">
      <c r="A4306" s="3" t="s">
        <v>10786</v>
      </c>
      <c r="B4306" s="4" t="s">
        <v>13556</v>
      </c>
      <c r="C4306" s="4" t="s">
        <v>14</v>
      </c>
      <c r="D4306" s="4" t="s">
        <v>15</v>
      </c>
      <c r="E4306" s="5" t="str">
        <f>"9490060"</f>
        <v>9490060</v>
      </c>
      <c r="F4306" s="3" t="s">
        <v>13702</v>
      </c>
      <c r="G4306" s="5">
        <v>2372022325</v>
      </c>
      <c r="H4306" s="4" t="s">
        <v>13703</v>
      </c>
      <c r="I4306" s="4" t="s">
        <v>13575</v>
      </c>
      <c r="J4306" s="4" t="s">
        <v>13596</v>
      </c>
      <c r="K4306" s="4" t="s">
        <v>13702</v>
      </c>
      <c r="L4306" s="5">
        <v>63074</v>
      </c>
    </row>
    <row r="4307" spans="1:12" x14ac:dyDescent="0.25">
      <c r="A4307" s="3" t="s">
        <v>10786</v>
      </c>
      <c r="B4307" s="4" t="s">
        <v>13556</v>
      </c>
      <c r="C4307" s="4" t="s">
        <v>14</v>
      </c>
      <c r="D4307" s="4" t="s">
        <v>15</v>
      </c>
      <c r="E4307" s="5" t="str">
        <f>"9490073"</f>
        <v>9490073</v>
      </c>
      <c r="F4307" s="3" t="s">
        <v>13704</v>
      </c>
      <c r="G4307" s="5">
        <v>2377031313</v>
      </c>
      <c r="H4307" s="4" t="s">
        <v>13705</v>
      </c>
      <c r="I4307" s="4" t="s">
        <v>13575</v>
      </c>
      <c r="J4307" s="4" t="s">
        <v>13706</v>
      </c>
      <c r="K4307" s="4" t="s">
        <v>13706</v>
      </c>
      <c r="L4307" s="5">
        <v>63075</v>
      </c>
    </row>
    <row r="4308" spans="1:12" x14ac:dyDescent="0.25">
      <c r="A4308" s="3" t="s">
        <v>10786</v>
      </c>
      <c r="B4308" s="4" t="s">
        <v>13556</v>
      </c>
      <c r="C4308" s="4" t="s">
        <v>14</v>
      </c>
      <c r="D4308" s="4" t="s">
        <v>15</v>
      </c>
      <c r="E4308" s="5" t="str">
        <f>"9490040"</f>
        <v>9490040</v>
      </c>
      <c r="F4308" s="3" t="s">
        <v>13707</v>
      </c>
      <c r="G4308" s="5">
        <v>2373091392</v>
      </c>
      <c r="H4308" s="4" t="s">
        <v>13708</v>
      </c>
      <c r="I4308" s="4" t="s">
        <v>13570</v>
      </c>
      <c r="J4308" s="4" t="s">
        <v>13709</v>
      </c>
      <c r="K4308" s="4" t="s">
        <v>13709</v>
      </c>
      <c r="L4308" s="5">
        <v>63200</v>
      </c>
    </row>
    <row r="4309" spans="1:12" x14ac:dyDescent="0.25">
      <c r="A4309" s="3" t="s">
        <v>10786</v>
      </c>
      <c r="B4309" s="4" t="s">
        <v>13556</v>
      </c>
      <c r="C4309" s="4" t="s">
        <v>14</v>
      </c>
      <c r="D4309" s="4" t="s">
        <v>15</v>
      </c>
      <c r="E4309" s="5" t="str">
        <f>"9490049"</f>
        <v>9490049</v>
      </c>
      <c r="F4309" s="3" t="s">
        <v>13710</v>
      </c>
      <c r="G4309" s="5">
        <v>2373021901</v>
      </c>
      <c r="H4309" s="4" t="s">
        <v>13711</v>
      </c>
      <c r="I4309" s="4" t="s">
        <v>13591</v>
      </c>
      <c r="J4309" s="4" t="s">
        <v>13712</v>
      </c>
      <c r="K4309" s="4" t="s">
        <v>13712</v>
      </c>
      <c r="L4309" s="5">
        <v>63200</v>
      </c>
    </row>
    <row r="4310" spans="1:12" x14ac:dyDescent="0.25">
      <c r="A4310" s="3" t="s">
        <v>10786</v>
      </c>
      <c r="B4310" s="4" t="s">
        <v>13556</v>
      </c>
      <c r="C4310" s="4" t="s">
        <v>14</v>
      </c>
      <c r="D4310" s="4" t="s">
        <v>15</v>
      </c>
      <c r="E4310" s="5" t="str">
        <f>"9490103"</f>
        <v>9490103</v>
      </c>
      <c r="F4310" s="3" t="s">
        <v>13713</v>
      </c>
      <c r="G4310" s="5">
        <v>2371061324</v>
      </c>
      <c r="H4310" s="4" t="s">
        <v>13714</v>
      </c>
      <c r="I4310" s="4" t="s">
        <v>13570</v>
      </c>
      <c r="J4310" s="4" t="s">
        <v>13715</v>
      </c>
      <c r="K4310" s="4" t="s">
        <v>13715</v>
      </c>
      <c r="L4310" s="5">
        <v>63073</v>
      </c>
    </row>
    <row r="4311" spans="1:12" x14ac:dyDescent="0.25">
      <c r="A4311" s="3" t="s">
        <v>10786</v>
      </c>
      <c r="B4311" s="4" t="s">
        <v>13556</v>
      </c>
      <c r="C4311" s="4" t="s">
        <v>14</v>
      </c>
      <c r="D4311" s="4" t="s">
        <v>15</v>
      </c>
      <c r="E4311" s="5" t="str">
        <f>"9490029"</f>
        <v>9490029</v>
      </c>
      <c r="F4311" s="3" t="s">
        <v>13716</v>
      </c>
      <c r="G4311" s="5">
        <v>2373041571</v>
      </c>
      <c r="H4311" s="4" t="s">
        <v>13717</v>
      </c>
      <c r="I4311" s="4" t="s">
        <v>13591</v>
      </c>
      <c r="J4311" s="4" t="s">
        <v>13718</v>
      </c>
      <c r="K4311" s="4" t="s">
        <v>13719</v>
      </c>
      <c r="L4311" s="5">
        <v>63200</v>
      </c>
    </row>
    <row r="4312" spans="1:12" x14ac:dyDescent="0.25">
      <c r="A4312" s="3" t="s">
        <v>10786</v>
      </c>
      <c r="B4312" s="4" t="s">
        <v>13556</v>
      </c>
      <c r="C4312" s="4" t="s">
        <v>14</v>
      </c>
      <c r="D4312" s="4" t="s">
        <v>15</v>
      </c>
      <c r="E4312" s="5" t="str">
        <f>"9490048"</f>
        <v>9490048</v>
      </c>
      <c r="F4312" s="3" t="s">
        <v>13720</v>
      </c>
      <c r="G4312" s="5">
        <v>2374051205</v>
      </c>
      <c r="H4312" s="4" t="s">
        <v>13721</v>
      </c>
      <c r="I4312" s="4" t="s">
        <v>13586</v>
      </c>
      <c r="J4312" s="4" t="s">
        <v>13722</v>
      </c>
      <c r="K4312" s="4" t="s">
        <v>13722</v>
      </c>
      <c r="L4312" s="5">
        <v>63085</v>
      </c>
    </row>
    <row r="4313" spans="1:12" x14ac:dyDescent="0.25">
      <c r="A4313" s="3" t="s">
        <v>10786</v>
      </c>
      <c r="B4313" s="4" t="s">
        <v>13556</v>
      </c>
      <c r="C4313" s="4" t="s">
        <v>14</v>
      </c>
      <c r="D4313" s="4" t="s">
        <v>15</v>
      </c>
      <c r="E4313" s="5" t="str">
        <f>"9490034"</f>
        <v>9490034</v>
      </c>
      <c r="F4313" s="3" t="s">
        <v>13723</v>
      </c>
      <c r="G4313" s="5">
        <v>2374081242</v>
      </c>
      <c r="H4313" s="4" t="s">
        <v>13724</v>
      </c>
      <c r="I4313" s="4" t="s">
        <v>13586</v>
      </c>
      <c r="J4313" s="4" t="s">
        <v>13634</v>
      </c>
      <c r="K4313" s="4" t="s">
        <v>13723</v>
      </c>
      <c r="L4313" s="5">
        <v>63077</v>
      </c>
    </row>
    <row r="4314" spans="1:12" x14ac:dyDescent="0.25">
      <c r="A4314" s="3" t="s">
        <v>10786</v>
      </c>
      <c r="B4314" s="4" t="s">
        <v>13556</v>
      </c>
      <c r="C4314" s="4" t="s">
        <v>14</v>
      </c>
      <c r="D4314" s="4" t="s">
        <v>15</v>
      </c>
      <c r="E4314" s="5" t="str">
        <f>"9490024"</f>
        <v>9490024</v>
      </c>
      <c r="F4314" s="3" t="s">
        <v>13725</v>
      </c>
      <c r="G4314" s="5">
        <v>2399051260</v>
      </c>
      <c r="H4314" s="4" t="s">
        <v>13726</v>
      </c>
      <c r="I4314" s="4" t="s">
        <v>13591</v>
      </c>
      <c r="J4314" s="4" t="s">
        <v>13727</v>
      </c>
      <c r="K4314" s="4" t="s">
        <v>13728</v>
      </c>
      <c r="L4314" s="5">
        <v>63080</v>
      </c>
    </row>
    <row r="4315" spans="1:12" x14ac:dyDescent="0.25">
      <c r="A4315" s="3" t="s">
        <v>10786</v>
      </c>
      <c r="B4315" s="4" t="s">
        <v>13556</v>
      </c>
      <c r="C4315" s="4" t="s">
        <v>14</v>
      </c>
      <c r="D4315" s="4" t="s">
        <v>15</v>
      </c>
      <c r="E4315" s="5" t="str">
        <f>"9490057"</f>
        <v>9490057</v>
      </c>
      <c r="F4315" s="3" t="s">
        <v>13729</v>
      </c>
      <c r="G4315" s="5">
        <v>2373031377</v>
      </c>
      <c r="H4315" s="4" t="s">
        <v>13730</v>
      </c>
      <c r="I4315" s="4" t="s">
        <v>13591</v>
      </c>
      <c r="J4315" s="4" t="s">
        <v>13731</v>
      </c>
      <c r="K4315" s="4" t="s">
        <v>13732</v>
      </c>
      <c r="L4315" s="5">
        <v>63200</v>
      </c>
    </row>
    <row r="4316" spans="1:12" x14ac:dyDescent="0.25">
      <c r="A4316" s="3" t="s">
        <v>10786</v>
      </c>
      <c r="B4316" s="4" t="s">
        <v>13556</v>
      </c>
      <c r="C4316" s="4" t="s">
        <v>14</v>
      </c>
      <c r="D4316" s="4" t="s">
        <v>15</v>
      </c>
      <c r="E4316" s="5" t="str">
        <f>"9490051"</f>
        <v>9490051</v>
      </c>
      <c r="F4316" s="3" t="s">
        <v>13733</v>
      </c>
      <c r="G4316" s="5">
        <v>2373061208</v>
      </c>
      <c r="H4316" s="4" t="s">
        <v>13734</v>
      </c>
      <c r="I4316" s="4" t="s">
        <v>13591</v>
      </c>
      <c r="J4316" s="4" t="s">
        <v>13735</v>
      </c>
      <c r="K4316" s="4" t="s">
        <v>13736</v>
      </c>
      <c r="L4316" s="5">
        <v>63200</v>
      </c>
    </row>
    <row r="4317" spans="1:12" x14ac:dyDescent="0.25">
      <c r="A4317" s="3" t="s">
        <v>10786</v>
      </c>
      <c r="B4317" s="4" t="s">
        <v>13556</v>
      </c>
      <c r="C4317" s="4" t="s">
        <v>14</v>
      </c>
      <c r="D4317" s="4" t="s">
        <v>15</v>
      </c>
      <c r="E4317" s="5" t="str">
        <f>"9490044"</f>
        <v>9490044</v>
      </c>
      <c r="F4317" s="3" t="s">
        <v>13737</v>
      </c>
      <c r="G4317" s="5">
        <v>2374092207</v>
      </c>
      <c r="H4317" s="4" t="s">
        <v>13738</v>
      </c>
      <c r="I4317" s="4" t="s">
        <v>13586</v>
      </c>
      <c r="J4317" s="4" t="s">
        <v>13739</v>
      </c>
      <c r="K4317" s="4" t="s">
        <v>13740</v>
      </c>
      <c r="L4317" s="5">
        <v>63085</v>
      </c>
    </row>
    <row r="4318" spans="1:12" x14ac:dyDescent="0.25">
      <c r="A4318" s="3" t="s">
        <v>10786</v>
      </c>
      <c r="B4318" s="4" t="s">
        <v>13556</v>
      </c>
      <c r="C4318" s="4" t="s">
        <v>14</v>
      </c>
      <c r="D4318" s="4" t="s">
        <v>15</v>
      </c>
      <c r="E4318" s="5" t="str">
        <f>"9490028"</f>
        <v>9490028</v>
      </c>
      <c r="F4318" s="3" t="s">
        <v>13741</v>
      </c>
      <c r="G4318" s="5">
        <v>2399021326</v>
      </c>
      <c r="H4318" s="4" t="s">
        <v>13742</v>
      </c>
      <c r="I4318" s="4" t="s">
        <v>13591</v>
      </c>
      <c r="J4318" s="4" t="s">
        <v>13606</v>
      </c>
      <c r="K4318" s="4" t="s">
        <v>13743</v>
      </c>
      <c r="L4318" s="5">
        <v>63080</v>
      </c>
    </row>
    <row r="4319" spans="1:12" x14ac:dyDescent="0.25">
      <c r="A4319" s="3" t="s">
        <v>10786</v>
      </c>
      <c r="B4319" s="4" t="s">
        <v>13556</v>
      </c>
      <c r="C4319" s="4" t="s">
        <v>14</v>
      </c>
      <c r="D4319" s="4" t="s">
        <v>15</v>
      </c>
      <c r="E4319" s="5" t="str">
        <f>"9490355"</f>
        <v>9490355</v>
      </c>
      <c r="F4319" s="3" t="s">
        <v>13744</v>
      </c>
      <c r="G4319" s="5">
        <v>2374023998</v>
      </c>
      <c r="H4319" s="4" t="s">
        <v>13745</v>
      </c>
      <c r="I4319" s="4" t="s">
        <v>13586</v>
      </c>
      <c r="J4319" s="4" t="s">
        <v>13587</v>
      </c>
      <c r="K4319" s="4" t="s">
        <v>13587</v>
      </c>
      <c r="L4319" s="5">
        <v>63077</v>
      </c>
    </row>
    <row r="4320" spans="1:12" x14ac:dyDescent="0.25">
      <c r="A4320" s="3" t="s">
        <v>10786</v>
      </c>
      <c r="B4320" s="4" t="s">
        <v>13556</v>
      </c>
      <c r="C4320" s="4" t="s">
        <v>14</v>
      </c>
      <c r="D4320" s="4" t="s">
        <v>15</v>
      </c>
      <c r="E4320" s="5" t="str">
        <f>"9490003"</f>
        <v>9490003</v>
      </c>
      <c r="F4320" s="3" t="s">
        <v>13746</v>
      </c>
      <c r="G4320" s="5">
        <v>2373021260</v>
      </c>
      <c r="H4320" s="4" t="s">
        <v>13747</v>
      </c>
      <c r="I4320" s="4" t="s">
        <v>13591</v>
      </c>
      <c r="J4320" s="4" t="s">
        <v>13748</v>
      </c>
      <c r="K4320" s="4" t="s">
        <v>13749</v>
      </c>
      <c r="L4320" s="5">
        <v>63200</v>
      </c>
    </row>
    <row r="4321" spans="1:12" x14ac:dyDescent="0.25">
      <c r="A4321" s="3" t="s">
        <v>10786</v>
      </c>
      <c r="B4321" s="4" t="s">
        <v>13556</v>
      </c>
      <c r="C4321" s="4" t="s">
        <v>14</v>
      </c>
      <c r="D4321" s="4" t="s">
        <v>15</v>
      </c>
      <c r="E4321" s="5" t="str">
        <f>"9490020"</f>
        <v>9490020</v>
      </c>
      <c r="F4321" s="3" t="s">
        <v>13750</v>
      </c>
      <c r="G4321" s="5">
        <v>2374022298</v>
      </c>
      <c r="H4321" s="4" t="s">
        <v>13751</v>
      </c>
      <c r="I4321" s="4" t="s">
        <v>13586</v>
      </c>
      <c r="J4321" s="4" t="s">
        <v>13587</v>
      </c>
      <c r="K4321" s="4" t="s">
        <v>13587</v>
      </c>
      <c r="L4321" s="5">
        <v>63077</v>
      </c>
    </row>
    <row r="4322" spans="1:12" x14ac:dyDescent="0.25">
      <c r="A4322" s="3" t="s">
        <v>10786</v>
      </c>
      <c r="B4322" s="4" t="s">
        <v>13556</v>
      </c>
      <c r="C4322" s="4" t="s">
        <v>14</v>
      </c>
      <c r="D4322" s="4" t="s">
        <v>15</v>
      </c>
      <c r="E4322" s="5" t="str">
        <f>"9490352"</f>
        <v>9490352</v>
      </c>
      <c r="F4322" s="3" t="s">
        <v>13752</v>
      </c>
      <c r="G4322" s="5">
        <v>2399023985</v>
      </c>
      <c r="H4322" s="4" t="s">
        <v>13753</v>
      </c>
      <c r="I4322" s="4" t="s">
        <v>13591</v>
      </c>
      <c r="J4322" s="4" t="s">
        <v>13606</v>
      </c>
      <c r="K4322" s="4" t="s">
        <v>13754</v>
      </c>
      <c r="L4322" s="5">
        <v>63080</v>
      </c>
    </row>
    <row r="4323" spans="1:12" x14ac:dyDescent="0.25">
      <c r="A4323" s="3" t="s">
        <v>10786</v>
      </c>
      <c r="B4323" s="4" t="s">
        <v>13556</v>
      </c>
      <c r="C4323" s="4" t="s">
        <v>14</v>
      </c>
      <c r="D4323" s="4" t="s">
        <v>15</v>
      </c>
      <c r="E4323" s="5" t="str">
        <f>"9490162"</f>
        <v>9490162</v>
      </c>
      <c r="F4323" s="3" t="s">
        <v>13755</v>
      </c>
      <c r="G4323" s="5">
        <v>2373022778</v>
      </c>
      <c r="H4323" s="4" t="s">
        <v>13756</v>
      </c>
      <c r="I4323" s="4" t="s">
        <v>13591</v>
      </c>
      <c r="J4323" s="4" t="s">
        <v>13620</v>
      </c>
      <c r="K4323" s="4" t="s">
        <v>13757</v>
      </c>
      <c r="L4323" s="5">
        <v>63200</v>
      </c>
    </row>
    <row r="4324" spans="1:12" x14ac:dyDescent="0.25">
      <c r="A4324" s="3" t="s">
        <v>10786</v>
      </c>
      <c r="B4324" s="4" t="s">
        <v>13556</v>
      </c>
      <c r="C4324" s="4" t="s">
        <v>25</v>
      </c>
      <c r="D4324" s="4" t="s">
        <v>26</v>
      </c>
      <c r="E4324" s="5" t="str">
        <f>"9490130"</f>
        <v>9490130</v>
      </c>
      <c r="F4324" s="3" t="s">
        <v>13758</v>
      </c>
      <c r="G4324" s="5">
        <v>2373091072</v>
      </c>
      <c r="H4324" s="4" t="s">
        <v>13759</v>
      </c>
      <c r="I4324" s="4" t="s">
        <v>13591</v>
      </c>
      <c r="J4324" s="4" t="s">
        <v>13760</v>
      </c>
      <c r="K4324" s="4" t="s">
        <v>13761</v>
      </c>
      <c r="L4324" s="5">
        <v>63200</v>
      </c>
    </row>
    <row r="4325" spans="1:12" x14ac:dyDescent="0.25">
      <c r="A4325" s="3" t="s">
        <v>10786</v>
      </c>
      <c r="B4325" s="4" t="s">
        <v>13556</v>
      </c>
      <c r="C4325" s="4" t="s">
        <v>14</v>
      </c>
      <c r="D4325" s="4" t="s">
        <v>15</v>
      </c>
      <c r="E4325" s="5" t="str">
        <f>"9521234"</f>
        <v>9521234</v>
      </c>
      <c r="F4325" s="3" t="s">
        <v>13762</v>
      </c>
      <c r="G4325" s="5">
        <v>2373021748</v>
      </c>
      <c r="H4325" s="4" t="s">
        <v>13763</v>
      </c>
      <c r="I4325" s="4" t="s">
        <v>13591</v>
      </c>
      <c r="J4325" s="4" t="s">
        <v>13592</v>
      </c>
      <c r="K4325" s="4" t="s">
        <v>13764</v>
      </c>
      <c r="L4325" s="5">
        <v>63200</v>
      </c>
    </row>
    <row r="4326" spans="1:12" x14ac:dyDescent="0.25">
      <c r="A4326" s="3" t="s">
        <v>10786</v>
      </c>
      <c r="B4326" s="4" t="s">
        <v>13556</v>
      </c>
      <c r="C4326" s="4" t="s">
        <v>25</v>
      </c>
      <c r="D4326" s="4" t="s">
        <v>26</v>
      </c>
      <c r="E4326" s="5" t="str">
        <f>"9521422"</f>
        <v>9521422</v>
      </c>
      <c r="F4326" s="3" t="s">
        <v>13765</v>
      </c>
      <c r="G4326" s="5">
        <v>2373026827</v>
      </c>
      <c r="H4326" s="4" t="s">
        <v>13766</v>
      </c>
      <c r="I4326" s="4" t="s">
        <v>13591</v>
      </c>
      <c r="J4326" s="4" t="s">
        <v>13767</v>
      </c>
      <c r="K4326" s="4" t="s">
        <v>13768</v>
      </c>
      <c r="L4326" s="5">
        <v>63200</v>
      </c>
    </row>
    <row r="4327" spans="1:12" x14ac:dyDescent="0.25">
      <c r="A4327" s="3" t="s">
        <v>10786</v>
      </c>
      <c r="B4327" s="4" t="s">
        <v>13556</v>
      </c>
      <c r="C4327" s="4" t="s">
        <v>14</v>
      </c>
      <c r="D4327" s="4" t="s">
        <v>15</v>
      </c>
      <c r="E4327" s="5" t="str">
        <f>"9490018"</f>
        <v>9490018</v>
      </c>
      <c r="F4327" s="3" t="s">
        <v>13769</v>
      </c>
      <c r="G4327" s="5">
        <v>2374023366</v>
      </c>
      <c r="H4327" s="4" t="s">
        <v>13770</v>
      </c>
      <c r="I4327" s="4" t="s">
        <v>13586</v>
      </c>
      <c r="J4327" s="4" t="s">
        <v>4812</v>
      </c>
      <c r="K4327" s="4" t="s">
        <v>13771</v>
      </c>
      <c r="L4327" s="5">
        <v>63077</v>
      </c>
    </row>
    <row r="4328" spans="1:12" x14ac:dyDescent="0.25">
      <c r="A4328" s="3" t="s">
        <v>13772</v>
      </c>
      <c r="B4328" s="4" t="s">
        <v>13773</v>
      </c>
      <c r="C4328" s="4" t="s">
        <v>25</v>
      </c>
      <c r="D4328" s="4" t="s">
        <v>26</v>
      </c>
      <c r="E4328" s="5" t="str">
        <f>"9170409"</f>
        <v>9170409</v>
      </c>
      <c r="F4328" s="3" t="s">
        <v>13774</v>
      </c>
      <c r="G4328" s="5">
        <v>2810261766</v>
      </c>
      <c r="H4328" s="4" t="s">
        <v>13775</v>
      </c>
      <c r="I4328" s="4" t="s">
        <v>3193</v>
      </c>
      <c r="J4328" s="4" t="s">
        <v>3193</v>
      </c>
      <c r="K4328" s="4" t="s">
        <v>13776</v>
      </c>
      <c r="L4328" s="5">
        <v>71304</v>
      </c>
    </row>
    <row r="4329" spans="1:12" x14ac:dyDescent="0.25">
      <c r="A4329" s="3" t="s">
        <v>13772</v>
      </c>
      <c r="B4329" s="4" t="s">
        <v>13773</v>
      </c>
      <c r="C4329" s="4" t="s">
        <v>14</v>
      </c>
      <c r="D4329" s="4" t="s">
        <v>15</v>
      </c>
      <c r="E4329" s="5" t="str">
        <f>"9170535"</f>
        <v>9170535</v>
      </c>
      <c r="F4329" s="3" t="s">
        <v>13777</v>
      </c>
      <c r="G4329" s="5">
        <v>2810222629</v>
      </c>
      <c r="H4329" s="4" t="s">
        <v>13778</v>
      </c>
      <c r="I4329" s="4" t="s">
        <v>3193</v>
      </c>
      <c r="J4329" s="4" t="s">
        <v>13779</v>
      </c>
      <c r="K4329" s="4" t="s">
        <v>13780</v>
      </c>
      <c r="L4329" s="5">
        <v>71307</v>
      </c>
    </row>
    <row r="4330" spans="1:12" x14ac:dyDescent="0.25">
      <c r="A4330" s="3" t="s">
        <v>13772</v>
      </c>
      <c r="B4330" s="4" t="s">
        <v>13773</v>
      </c>
      <c r="C4330" s="4" t="s">
        <v>25</v>
      </c>
      <c r="D4330" s="4" t="s">
        <v>26</v>
      </c>
      <c r="E4330" s="5" t="str">
        <f>"9170414"</f>
        <v>9170414</v>
      </c>
      <c r="F4330" s="3" t="s">
        <v>13781</v>
      </c>
      <c r="G4330" s="5">
        <v>2810220080</v>
      </c>
      <c r="H4330" s="4" t="s">
        <v>13782</v>
      </c>
      <c r="I4330" s="4" t="s">
        <v>3193</v>
      </c>
      <c r="J4330" s="4" t="s">
        <v>3193</v>
      </c>
      <c r="K4330" s="4" t="s">
        <v>13783</v>
      </c>
      <c r="L4330" s="5">
        <v>71307</v>
      </c>
    </row>
    <row r="4331" spans="1:12" x14ac:dyDescent="0.25">
      <c r="A4331" s="3" t="s">
        <v>13772</v>
      </c>
      <c r="B4331" s="4" t="s">
        <v>13773</v>
      </c>
      <c r="C4331" s="4" t="s">
        <v>14</v>
      </c>
      <c r="D4331" s="4" t="s">
        <v>15</v>
      </c>
      <c r="E4331" s="5" t="str">
        <f>"9170255"</f>
        <v>9170255</v>
      </c>
      <c r="F4331" s="3" t="s">
        <v>13784</v>
      </c>
      <c r="G4331" s="5">
        <v>2810220750</v>
      </c>
      <c r="H4331" s="4" t="s">
        <v>13785</v>
      </c>
      <c r="I4331" s="4" t="s">
        <v>3193</v>
      </c>
      <c r="J4331" s="4" t="s">
        <v>3727</v>
      </c>
      <c r="K4331" s="4" t="s">
        <v>13786</v>
      </c>
      <c r="L4331" s="5">
        <v>71307</v>
      </c>
    </row>
    <row r="4332" spans="1:12" x14ac:dyDescent="0.25">
      <c r="A4332" s="3" t="s">
        <v>13772</v>
      </c>
      <c r="B4332" s="4" t="s">
        <v>13773</v>
      </c>
      <c r="C4332" s="4" t="s">
        <v>25</v>
      </c>
      <c r="D4332" s="4" t="s">
        <v>26</v>
      </c>
      <c r="E4332" s="5" t="str">
        <f>"9170096"</f>
        <v>9170096</v>
      </c>
      <c r="F4332" s="3" t="s">
        <v>13787</v>
      </c>
      <c r="G4332" s="5">
        <v>2810751200</v>
      </c>
      <c r="H4332" s="4" t="s">
        <v>13788</v>
      </c>
      <c r="I4332" s="4" t="s">
        <v>13789</v>
      </c>
      <c r="J4332" s="4" t="s">
        <v>13790</v>
      </c>
      <c r="K4332" s="4" t="s">
        <v>13791</v>
      </c>
      <c r="L4332" s="5">
        <v>70100</v>
      </c>
    </row>
    <row r="4333" spans="1:12" x14ac:dyDescent="0.25">
      <c r="A4333" s="3" t="s">
        <v>13772</v>
      </c>
      <c r="B4333" s="4" t="s">
        <v>13773</v>
      </c>
      <c r="C4333" s="4" t="s">
        <v>25</v>
      </c>
      <c r="D4333" s="4" t="s">
        <v>26</v>
      </c>
      <c r="E4333" s="5" t="str">
        <f>"9170595"</f>
        <v>9170595</v>
      </c>
      <c r="F4333" s="3" t="s">
        <v>13792</v>
      </c>
      <c r="G4333" s="5">
        <v>2897308062</v>
      </c>
      <c r="H4333" s="4" t="s">
        <v>13793</v>
      </c>
      <c r="I4333" s="4" t="s">
        <v>13794</v>
      </c>
      <c r="J4333" s="4" t="s">
        <v>13795</v>
      </c>
      <c r="K4333" s="4" t="s">
        <v>13795</v>
      </c>
      <c r="L4333" s="5">
        <v>70014</v>
      </c>
    </row>
    <row r="4334" spans="1:12" x14ac:dyDescent="0.25">
      <c r="A4334" s="3" t="s">
        <v>13772</v>
      </c>
      <c r="B4334" s="4" t="s">
        <v>13773</v>
      </c>
      <c r="C4334" s="4" t="s">
        <v>25</v>
      </c>
      <c r="D4334" s="4" t="s">
        <v>26</v>
      </c>
      <c r="E4334" s="5" t="str">
        <f>"9170104"</f>
        <v>9170104</v>
      </c>
      <c r="F4334" s="3" t="s">
        <v>13796</v>
      </c>
      <c r="G4334" s="5">
        <v>2810222334</v>
      </c>
      <c r="H4334" s="4" t="s">
        <v>13797</v>
      </c>
      <c r="I4334" s="4" t="s">
        <v>3193</v>
      </c>
      <c r="J4334" s="4" t="s">
        <v>3193</v>
      </c>
      <c r="K4334" s="4" t="s">
        <v>13798</v>
      </c>
      <c r="L4334" s="5">
        <v>71202</v>
      </c>
    </row>
    <row r="4335" spans="1:12" x14ac:dyDescent="0.25">
      <c r="A4335" s="3" t="s">
        <v>13772</v>
      </c>
      <c r="B4335" s="4" t="s">
        <v>13773</v>
      </c>
      <c r="C4335" s="4" t="s">
        <v>25</v>
      </c>
      <c r="D4335" s="4" t="s">
        <v>26</v>
      </c>
      <c r="E4335" s="5" t="str">
        <f>"9170462"</f>
        <v>9170462</v>
      </c>
      <c r="F4335" s="3" t="s">
        <v>13799</v>
      </c>
      <c r="G4335" s="5">
        <v>2810781040</v>
      </c>
      <c r="H4335" s="4" t="s">
        <v>13800</v>
      </c>
      <c r="I4335" s="4" t="s">
        <v>13794</v>
      </c>
      <c r="J4335" s="4" t="s">
        <v>13801</v>
      </c>
      <c r="K4335" s="4" t="s">
        <v>13802</v>
      </c>
      <c r="L4335" s="5">
        <v>70008</v>
      </c>
    </row>
    <row r="4336" spans="1:12" x14ac:dyDescent="0.25">
      <c r="A4336" s="3" t="s">
        <v>13772</v>
      </c>
      <c r="B4336" s="4" t="s">
        <v>13773</v>
      </c>
      <c r="C4336" s="4" t="s">
        <v>25</v>
      </c>
      <c r="D4336" s="4" t="s">
        <v>26</v>
      </c>
      <c r="E4336" s="5" t="str">
        <f>"9170252"</f>
        <v>9170252</v>
      </c>
      <c r="F4336" s="3" t="s">
        <v>13803</v>
      </c>
      <c r="G4336" s="5">
        <v>2810220386</v>
      </c>
      <c r="H4336" s="4" t="s">
        <v>13804</v>
      </c>
      <c r="I4336" s="4" t="s">
        <v>3193</v>
      </c>
      <c r="J4336" s="4" t="s">
        <v>3193</v>
      </c>
      <c r="K4336" s="4" t="s">
        <v>13805</v>
      </c>
      <c r="L4336" s="5">
        <v>71307</v>
      </c>
    </row>
    <row r="4337" spans="1:12" x14ac:dyDescent="0.25">
      <c r="A4337" s="3" t="s">
        <v>13772</v>
      </c>
      <c r="B4337" s="4" t="s">
        <v>13773</v>
      </c>
      <c r="C4337" s="4" t="s">
        <v>25</v>
      </c>
      <c r="D4337" s="4" t="s">
        <v>26</v>
      </c>
      <c r="E4337" s="5" t="str">
        <f>"9170047"</f>
        <v>9170047</v>
      </c>
      <c r="F4337" s="3" t="s">
        <v>13806</v>
      </c>
      <c r="G4337" s="5">
        <v>2810289645</v>
      </c>
      <c r="H4337" s="4" t="s">
        <v>13807</v>
      </c>
      <c r="I4337" s="4" t="s">
        <v>3193</v>
      </c>
      <c r="J4337" s="4" t="s">
        <v>3193</v>
      </c>
      <c r="K4337" s="4" t="s">
        <v>13808</v>
      </c>
      <c r="L4337" s="5">
        <v>71202</v>
      </c>
    </row>
    <row r="4338" spans="1:12" x14ac:dyDescent="0.25">
      <c r="A4338" s="3" t="s">
        <v>13772</v>
      </c>
      <c r="B4338" s="4" t="s">
        <v>13773</v>
      </c>
      <c r="C4338" s="4" t="s">
        <v>25</v>
      </c>
      <c r="D4338" s="4" t="s">
        <v>26</v>
      </c>
      <c r="E4338" s="5" t="str">
        <f>"9170253"</f>
        <v>9170253</v>
      </c>
      <c r="F4338" s="3" t="s">
        <v>13809</v>
      </c>
      <c r="G4338" s="5">
        <v>2810245816</v>
      </c>
      <c r="H4338" s="4" t="s">
        <v>13810</v>
      </c>
      <c r="I4338" s="4" t="s">
        <v>3193</v>
      </c>
      <c r="J4338" s="4" t="s">
        <v>3193</v>
      </c>
      <c r="K4338" s="4" t="s">
        <v>13811</v>
      </c>
      <c r="L4338" s="5">
        <v>71307</v>
      </c>
    </row>
    <row r="4339" spans="1:12" x14ac:dyDescent="0.25">
      <c r="A4339" s="3" t="s">
        <v>13772</v>
      </c>
      <c r="B4339" s="4" t="s">
        <v>13773</v>
      </c>
      <c r="C4339" s="4" t="s">
        <v>25</v>
      </c>
      <c r="D4339" s="4" t="s">
        <v>26</v>
      </c>
      <c r="E4339" s="5" t="str">
        <f>"9170105"</f>
        <v>9170105</v>
      </c>
      <c r="F4339" s="3" t="s">
        <v>13812</v>
      </c>
      <c r="G4339" s="5">
        <v>2810234712</v>
      </c>
      <c r="H4339" s="4" t="s">
        <v>13813</v>
      </c>
      <c r="I4339" s="4" t="s">
        <v>3193</v>
      </c>
      <c r="J4339" s="4" t="s">
        <v>3193</v>
      </c>
      <c r="K4339" s="4" t="s">
        <v>13814</v>
      </c>
      <c r="L4339" s="5">
        <v>71306</v>
      </c>
    </row>
    <row r="4340" spans="1:12" x14ac:dyDescent="0.25">
      <c r="A4340" s="3" t="s">
        <v>13772</v>
      </c>
      <c r="B4340" s="4" t="s">
        <v>13773</v>
      </c>
      <c r="C4340" s="4" t="s">
        <v>25</v>
      </c>
      <c r="D4340" s="4" t="s">
        <v>26</v>
      </c>
      <c r="E4340" s="5" t="str">
        <f>"9170189"</f>
        <v>9170189</v>
      </c>
      <c r="F4340" s="3" t="s">
        <v>13815</v>
      </c>
      <c r="G4340" s="5">
        <v>2810241270</v>
      </c>
      <c r="H4340" s="4" t="s">
        <v>13816</v>
      </c>
      <c r="I4340" s="4" t="s">
        <v>3193</v>
      </c>
      <c r="J4340" s="4" t="s">
        <v>3193</v>
      </c>
      <c r="K4340" s="4" t="s">
        <v>13817</v>
      </c>
      <c r="L4340" s="5">
        <v>71306</v>
      </c>
    </row>
    <row r="4341" spans="1:12" x14ac:dyDescent="0.25">
      <c r="A4341" s="3" t="s">
        <v>13772</v>
      </c>
      <c r="B4341" s="4" t="s">
        <v>13773</v>
      </c>
      <c r="C4341" s="4" t="s">
        <v>25</v>
      </c>
      <c r="D4341" s="4" t="s">
        <v>26</v>
      </c>
      <c r="E4341" s="5" t="str">
        <f>"9170349"</f>
        <v>9170349</v>
      </c>
      <c r="F4341" s="3" t="s">
        <v>13818</v>
      </c>
      <c r="G4341" s="5">
        <v>2810282893</v>
      </c>
      <c r="H4341" s="4" t="s">
        <v>13819</v>
      </c>
      <c r="I4341" s="4" t="s">
        <v>3193</v>
      </c>
      <c r="J4341" s="4" t="s">
        <v>3193</v>
      </c>
      <c r="K4341" s="4" t="s">
        <v>13820</v>
      </c>
      <c r="L4341" s="5">
        <v>71305</v>
      </c>
    </row>
    <row r="4342" spans="1:12" x14ac:dyDescent="0.25">
      <c r="A4342" s="3" t="s">
        <v>13772</v>
      </c>
      <c r="B4342" s="4" t="s">
        <v>13773</v>
      </c>
      <c r="C4342" s="4" t="s">
        <v>25</v>
      </c>
      <c r="D4342" s="4" t="s">
        <v>26</v>
      </c>
      <c r="E4342" s="5" t="str">
        <f>"9170390"</f>
        <v>9170390</v>
      </c>
      <c r="F4342" s="3" t="s">
        <v>13821</v>
      </c>
      <c r="G4342" s="5">
        <v>2810238601</v>
      </c>
      <c r="H4342" s="4" t="s">
        <v>13822</v>
      </c>
      <c r="I4342" s="4" t="s">
        <v>3193</v>
      </c>
      <c r="J4342" s="4" t="s">
        <v>3193</v>
      </c>
      <c r="K4342" s="4" t="s">
        <v>13823</v>
      </c>
      <c r="L4342" s="5">
        <v>71307</v>
      </c>
    </row>
    <row r="4343" spans="1:12" x14ac:dyDescent="0.25">
      <c r="A4343" s="3" t="s">
        <v>13772</v>
      </c>
      <c r="B4343" s="4" t="s">
        <v>13773</v>
      </c>
      <c r="C4343" s="4" t="s">
        <v>25</v>
      </c>
      <c r="D4343" s="4" t="s">
        <v>26</v>
      </c>
      <c r="E4343" s="5" t="str">
        <f>"9170526"</f>
        <v>9170526</v>
      </c>
      <c r="F4343" s="3" t="s">
        <v>13824</v>
      </c>
      <c r="G4343" s="5">
        <v>2810251986</v>
      </c>
      <c r="H4343" s="4" t="s">
        <v>13825</v>
      </c>
      <c r="I4343" s="4" t="s">
        <v>3193</v>
      </c>
      <c r="J4343" s="4" t="s">
        <v>3193</v>
      </c>
      <c r="K4343" s="4" t="s">
        <v>13826</v>
      </c>
      <c r="L4343" s="5">
        <v>71304</v>
      </c>
    </row>
    <row r="4344" spans="1:12" x14ac:dyDescent="0.25">
      <c r="A4344" s="3" t="s">
        <v>13772</v>
      </c>
      <c r="B4344" s="4" t="s">
        <v>13773</v>
      </c>
      <c r="C4344" s="4" t="s">
        <v>25</v>
      </c>
      <c r="D4344" s="4" t="s">
        <v>26</v>
      </c>
      <c r="E4344" s="5" t="str">
        <f>"9170400"</f>
        <v>9170400</v>
      </c>
      <c r="F4344" s="3" t="s">
        <v>13827</v>
      </c>
      <c r="G4344" s="5">
        <v>2810312158</v>
      </c>
      <c r="H4344" s="4" t="s">
        <v>13828</v>
      </c>
      <c r="I4344" s="4" t="s">
        <v>3193</v>
      </c>
      <c r="J4344" s="4" t="s">
        <v>3193</v>
      </c>
      <c r="K4344" s="4" t="s">
        <v>13829</v>
      </c>
      <c r="L4344" s="5">
        <v>71305</v>
      </c>
    </row>
    <row r="4345" spans="1:12" x14ac:dyDescent="0.25">
      <c r="A4345" s="3" t="s">
        <v>13772</v>
      </c>
      <c r="B4345" s="4" t="s">
        <v>13773</v>
      </c>
      <c r="C4345" s="4" t="s">
        <v>25</v>
      </c>
      <c r="D4345" s="4" t="s">
        <v>26</v>
      </c>
      <c r="E4345" s="5" t="str">
        <f>"9170600"</f>
        <v>9170600</v>
      </c>
      <c r="F4345" s="3" t="s">
        <v>13830</v>
      </c>
      <c r="G4345" s="5">
        <v>2810250956</v>
      </c>
      <c r="H4345" s="4" t="s">
        <v>13831</v>
      </c>
      <c r="I4345" s="4" t="s">
        <v>3193</v>
      </c>
      <c r="J4345" s="4" t="s">
        <v>3193</v>
      </c>
      <c r="K4345" s="4" t="s">
        <v>13832</v>
      </c>
      <c r="L4345" s="5">
        <v>71304</v>
      </c>
    </row>
    <row r="4346" spans="1:12" x14ac:dyDescent="0.25">
      <c r="A4346" s="3" t="s">
        <v>13772</v>
      </c>
      <c r="B4346" s="4" t="s">
        <v>13773</v>
      </c>
      <c r="C4346" s="4" t="s">
        <v>25</v>
      </c>
      <c r="D4346" s="4" t="s">
        <v>26</v>
      </c>
      <c r="E4346" s="5" t="str">
        <f>"9170509"</f>
        <v>9170509</v>
      </c>
      <c r="F4346" s="3" t="s">
        <v>13833</v>
      </c>
      <c r="G4346" s="5">
        <v>2810324988</v>
      </c>
      <c r="H4346" s="4" t="s">
        <v>13834</v>
      </c>
      <c r="I4346" s="4" t="s">
        <v>3193</v>
      </c>
      <c r="J4346" s="4" t="s">
        <v>3193</v>
      </c>
      <c r="K4346" s="4" t="s">
        <v>13835</v>
      </c>
      <c r="L4346" s="5">
        <v>71409</v>
      </c>
    </row>
    <row r="4347" spans="1:12" x14ac:dyDescent="0.25">
      <c r="A4347" s="3" t="s">
        <v>13772</v>
      </c>
      <c r="B4347" s="4" t="s">
        <v>13773</v>
      </c>
      <c r="C4347" s="4" t="s">
        <v>25</v>
      </c>
      <c r="D4347" s="4" t="s">
        <v>26</v>
      </c>
      <c r="E4347" s="5" t="str">
        <f>"9170350"</f>
        <v>9170350</v>
      </c>
      <c r="F4347" s="3" t="s">
        <v>13836</v>
      </c>
      <c r="G4347" s="5">
        <v>2810213537</v>
      </c>
      <c r="H4347" s="4" t="s">
        <v>13837</v>
      </c>
      <c r="I4347" s="4" t="s">
        <v>3193</v>
      </c>
      <c r="J4347" s="4" t="s">
        <v>3193</v>
      </c>
      <c r="K4347" s="4" t="s">
        <v>13838</v>
      </c>
      <c r="L4347" s="5">
        <v>71305</v>
      </c>
    </row>
    <row r="4348" spans="1:12" x14ac:dyDescent="0.25">
      <c r="A4348" s="3" t="s">
        <v>13772</v>
      </c>
      <c r="B4348" s="4" t="s">
        <v>13773</v>
      </c>
      <c r="C4348" s="4" t="s">
        <v>25</v>
      </c>
      <c r="D4348" s="4" t="s">
        <v>26</v>
      </c>
      <c r="E4348" s="5" t="str">
        <f>"9170353"</f>
        <v>9170353</v>
      </c>
      <c r="F4348" s="3" t="s">
        <v>13839</v>
      </c>
      <c r="G4348" s="5">
        <v>2810861585</v>
      </c>
      <c r="H4348" s="4" t="s">
        <v>13840</v>
      </c>
      <c r="I4348" s="4" t="s">
        <v>3193</v>
      </c>
      <c r="J4348" s="4" t="s">
        <v>13841</v>
      </c>
      <c r="K4348" s="4" t="s">
        <v>13842</v>
      </c>
      <c r="L4348" s="5">
        <v>70013</v>
      </c>
    </row>
    <row r="4349" spans="1:12" x14ac:dyDescent="0.25">
      <c r="A4349" s="3" t="s">
        <v>13772</v>
      </c>
      <c r="B4349" s="4" t="s">
        <v>13773</v>
      </c>
      <c r="C4349" s="4" t="s">
        <v>25</v>
      </c>
      <c r="D4349" s="4" t="s">
        <v>26</v>
      </c>
      <c r="E4349" s="5" t="str">
        <f>"9170530"</f>
        <v>9170530</v>
      </c>
      <c r="F4349" s="3" t="s">
        <v>13843</v>
      </c>
      <c r="G4349" s="5">
        <v>2810238562</v>
      </c>
      <c r="H4349" s="4" t="s">
        <v>13844</v>
      </c>
      <c r="I4349" s="4" t="s">
        <v>3193</v>
      </c>
      <c r="J4349" s="4" t="s">
        <v>3193</v>
      </c>
      <c r="K4349" s="4" t="s">
        <v>13845</v>
      </c>
      <c r="L4349" s="5">
        <v>71307</v>
      </c>
    </row>
    <row r="4350" spans="1:12" x14ac:dyDescent="0.25">
      <c r="A4350" s="3" t="s">
        <v>13772</v>
      </c>
      <c r="B4350" s="4" t="s">
        <v>13773</v>
      </c>
      <c r="C4350" s="4" t="s">
        <v>25</v>
      </c>
      <c r="D4350" s="4" t="s">
        <v>26</v>
      </c>
      <c r="E4350" s="5" t="str">
        <f>"9170587"</f>
        <v>9170587</v>
      </c>
      <c r="F4350" s="3" t="s">
        <v>13846</v>
      </c>
      <c r="G4350" s="5">
        <v>2810360810</v>
      </c>
      <c r="H4350" s="4" t="s">
        <v>13847</v>
      </c>
      <c r="I4350" s="4" t="s">
        <v>3193</v>
      </c>
      <c r="J4350" s="4" t="s">
        <v>3193</v>
      </c>
      <c r="K4350" s="4" t="s">
        <v>13848</v>
      </c>
      <c r="L4350" s="5">
        <v>71409</v>
      </c>
    </row>
    <row r="4351" spans="1:12" x14ac:dyDescent="0.25">
      <c r="A4351" s="3" t="s">
        <v>13772</v>
      </c>
      <c r="B4351" s="4" t="s">
        <v>13773</v>
      </c>
      <c r="C4351" s="4" t="s">
        <v>25</v>
      </c>
      <c r="D4351" s="4" t="s">
        <v>26</v>
      </c>
      <c r="E4351" s="5" t="str">
        <f>"9170101"</f>
        <v>9170101</v>
      </c>
      <c r="F4351" s="3" t="s">
        <v>13849</v>
      </c>
      <c r="G4351" s="5">
        <v>2810238392</v>
      </c>
      <c r="H4351" s="4" t="s">
        <v>13850</v>
      </c>
      <c r="I4351" s="4" t="s">
        <v>3193</v>
      </c>
      <c r="J4351" s="4" t="s">
        <v>3193</v>
      </c>
      <c r="K4351" s="4" t="s">
        <v>13851</v>
      </c>
      <c r="L4351" s="5">
        <v>71306</v>
      </c>
    </row>
    <row r="4352" spans="1:12" x14ac:dyDescent="0.25">
      <c r="A4352" s="3" t="s">
        <v>13772</v>
      </c>
      <c r="B4352" s="4" t="s">
        <v>13773</v>
      </c>
      <c r="C4352" s="4" t="s">
        <v>25</v>
      </c>
      <c r="D4352" s="4" t="s">
        <v>26</v>
      </c>
      <c r="E4352" s="5" t="str">
        <f>"9170351"</f>
        <v>9170351</v>
      </c>
      <c r="F4352" s="3" t="s">
        <v>13852</v>
      </c>
      <c r="G4352" s="5">
        <v>2810262817</v>
      </c>
      <c r="H4352" s="4" t="s">
        <v>13853</v>
      </c>
      <c r="I4352" s="4" t="s">
        <v>3193</v>
      </c>
      <c r="J4352" s="4" t="s">
        <v>3193</v>
      </c>
      <c r="K4352" s="4" t="s">
        <v>13854</v>
      </c>
      <c r="L4352" s="5">
        <v>71305</v>
      </c>
    </row>
    <row r="4353" spans="1:12" x14ac:dyDescent="0.25">
      <c r="A4353" s="3" t="s">
        <v>13772</v>
      </c>
      <c r="B4353" s="4" t="s">
        <v>13773</v>
      </c>
      <c r="C4353" s="4" t="s">
        <v>25</v>
      </c>
      <c r="D4353" s="4" t="s">
        <v>26</v>
      </c>
      <c r="E4353" s="5" t="str">
        <f>"9170103"</f>
        <v>9170103</v>
      </c>
      <c r="F4353" s="3" t="s">
        <v>13855</v>
      </c>
      <c r="G4353" s="5">
        <v>2810233184</v>
      </c>
      <c r="H4353" s="4" t="s">
        <v>13856</v>
      </c>
      <c r="I4353" s="4" t="s">
        <v>3193</v>
      </c>
      <c r="J4353" s="4" t="s">
        <v>3193</v>
      </c>
      <c r="K4353" s="4" t="s">
        <v>13857</v>
      </c>
      <c r="L4353" s="5">
        <v>71305</v>
      </c>
    </row>
    <row r="4354" spans="1:12" x14ac:dyDescent="0.25">
      <c r="A4354" s="3" t="s">
        <v>13772</v>
      </c>
      <c r="B4354" s="4" t="s">
        <v>13773</v>
      </c>
      <c r="C4354" s="4" t="s">
        <v>25</v>
      </c>
      <c r="D4354" s="4" t="s">
        <v>26</v>
      </c>
      <c r="E4354" s="5" t="str">
        <f>"9170051"</f>
        <v>9170051</v>
      </c>
      <c r="F4354" s="3" t="s">
        <v>13858</v>
      </c>
      <c r="G4354" s="5">
        <v>2810262913</v>
      </c>
      <c r="H4354" s="4" t="s">
        <v>13859</v>
      </c>
      <c r="I4354" s="4" t="s">
        <v>3193</v>
      </c>
      <c r="J4354" s="4" t="s">
        <v>3193</v>
      </c>
      <c r="K4354" s="4" t="s">
        <v>13860</v>
      </c>
      <c r="L4354" s="5">
        <v>71303</v>
      </c>
    </row>
    <row r="4355" spans="1:12" x14ac:dyDescent="0.25">
      <c r="A4355" s="3" t="s">
        <v>13772</v>
      </c>
      <c r="B4355" s="4" t="s">
        <v>13773</v>
      </c>
      <c r="C4355" s="4" t="s">
        <v>25</v>
      </c>
      <c r="D4355" s="4" t="s">
        <v>26</v>
      </c>
      <c r="E4355" s="5" t="str">
        <f>"9170348"</f>
        <v>9170348</v>
      </c>
      <c r="F4355" s="3" t="s">
        <v>13861</v>
      </c>
      <c r="G4355" s="5">
        <v>2810239435</v>
      </c>
      <c r="H4355" s="4" t="s">
        <v>13862</v>
      </c>
      <c r="I4355" s="4" t="s">
        <v>3193</v>
      </c>
      <c r="J4355" s="4" t="s">
        <v>3193</v>
      </c>
      <c r="K4355" s="4" t="s">
        <v>13863</v>
      </c>
      <c r="L4355" s="5">
        <v>71305</v>
      </c>
    </row>
    <row r="4356" spans="1:12" x14ac:dyDescent="0.25">
      <c r="A4356" s="3" t="s">
        <v>13772</v>
      </c>
      <c r="B4356" s="4" t="s">
        <v>13773</v>
      </c>
      <c r="C4356" s="4" t="s">
        <v>25</v>
      </c>
      <c r="D4356" s="4" t="s">
        <v>26</v>
      </c>
      <c r="E4356" s="5" t="str">
        <f>"9170539"</f>
        <v>9170539</v>
      </c>
      <c r="F4356" s="3" t="s">
        <v>13864</v>
      </c>
      <c r="G4356" s="5">
        <v>2810212420</v>
      </c>
      <c r="H4356" s="4" t="s">
        <v>13865</v>
      </c>
      <c r="I4356" s="4" t="s">
        <v>3193</v>
      </c>
      <c r="J4356" s="4" t="s">
        <v>13866</v>
      </c>
      <c r="K4356" s="4" t="s">
        <v>13867</v>
      </c>
      <c r="L4356" s="5">
        <v>71409</v>
      </c>
    </row>
    <row r="4357" spans="1:12" x14ac:dyDescent="0.25">
      <c r="A4357" s="3" t="s">
        <v>13772</v>
      </c>
      <c r="B4357" s="4" t="s">
        <v>13773</v>
      </c>
      <c r="C4357" s="4" t="s">
        <v>25</v>
      </c>
      <c r="D4357" s="4" t="s">
        <v>26</v>
      </c>
      <c r="E4357" s="5" t="str">
        <f>"9170441"</f>
        <v>9170441</v>
      </c>
      <c r="F4357" s="3" t="s">
        <v>13868</v>
      </c>
      <c r="G4357" s="5">
        <v>2810741759</v>
      </c>
      <c r="H4357" s="4" t="s">
        <v>13869</v>
      </c>
      <c r="I4357" s="4" t="s">
        <v>13789</v>
      </c>
      <c r="J4357" s="4" t="s">
        <v>13870</v>
      </c>
      <c r="K4357" s="4"/>
      <c r="L4357" s="5">
        <v>70100</v>
      </c>
    </row>
    <row r="4358" spans="1:12" x14ac:dyDescent="0.25">
      <c r="A4358" s="3" t="s">
        <v>13772</v>
      </c>
      <c r="B4358" s="4" t="s">
        <v>13773</v>
      </c>
      <c r="C4358" s="4" t="s">
        <v>25</v>
      </c>
      <c r="D4358" s="4" t="s">
        <v>26</v>
      </c>
      <c r="E4358" s="5" t="str">
        <f>"9170186"</f>
        <v>9170186</v>
      </c>
      <c r="F4358" s="3" t="s">
        <v>13871</v>
      </c>
      <c r="G4358" s="5">
        <v>2810211547</v>
      </c>
      <c r="H4358" s="4" t="s">
        <v>13872</v>
      </c>
      <c r="I4358" s="4" t="s">
        <v>3193</v>
      </c>
      <c r="J4358" s="4" t="s">
        <v>3727</v>
      </c>
      <c r="K4358" s="4" t="s">
        <v>13873</v>
      </c>
      <c r="L4358" s="5">
        <v>71307</v>
      </c>
    </row>
    <row r="4359" spans="1:12" x14ac:dyDescent="0.25">
      <c r="A4359" s="3" t="s">
        <v>13772</v>
      </c>
      <c r="B4359" s="4" t="s">
        <v>13773</v>
      </c>
      <c r="C4359" s="4" t="s">
        <v>25</v>
      </c>
      <c r="D4359" s="4" t="s">
        <v>26</v>
      </c>
      <c r="E4359" s="5" t="str">
        <f>"9170393"</f>
        <v>9170393</v>
      </c>
      <c r="F4359" s="3" t="s">
        <v>13874</v>
      </c>
      <c r="G4359" s="5">
        <v>2810528077</v>
      </c>
      <c r="H4359" s="4" t="s">
        <v>13875</v>
      </c>
      <c r="I4359" s="4" t="s">
        <v>3193</v>
      </c>
      <c r="J4359" s="4" t="s">
        <v>3193</v>
      </c>
      <c r="K4359" s="4" t="s">
        <v>13876</v>
      </c>
      <c r="L4359" s="5">
        <v>71304</v>
      </c>
    </row>
    <row r="4360" spans="1:12" x14ac:dyDescent="0.25">
      <c r="A4360" s="3" t="s">
        <v>13772</v>
      </c>
      <c r="B4360" s="4" t="s">
        <v>13773</v>
      </c>
      <c r="C4360" s="4" t="s">
        <v>25</v>
      </c>
      <c r="D4360" s="4" t="s">
        <v>26</v>
      </c>
      <c r="E4360" s="5" t="str">
        <f>"9170460"</f>
        <v>9170460</v>
      </c>
      <c r="F4360" s="3" t="s">
        <v>13877</v>
      </c>
      <c r="G4360" s="5">
        <v>2897022010</v>
      </c>
      <c r="H4360" s="4" t="s">
        <v>13878</v>
      </c>
      <c r="I4360" s="4" t="s">
        <v>13794</v>
      </c>
      <c r="J4360" s="4" t="s">
        <v>13879</v>
      </c>
      <c r="K4360" s="4" t="s">
        <v>13880</v>
      </c>
      <c r="L4360" s="5">
        <v>70014</v>
      </c>
    </row>
    <row r="4361" spans="1:12" x14ac:dyDescent="0.25">
      <c r="A4361" s="3" t="s">
        <v>13772</v>
      </c>
      <c r="B4361" s="4" t="s">
        <v>13773</v>
      </c>
      <c r="C4361" s="4" t="s">
        <v>25</v>
      </c>
      <c r="D4361" s="4" t="s">
        <v>26</v>
      </c>
      <c r="E4361" s="5" t="str">
        <f>"9170403"</f>
        <v>9170403</v>
      </c>
      <c r="F4361" s="3" t="s">
        <v>13881</v>
      </c>
      <c r="G4361" s="5">
        <v>2810257487</v>
      </c>
      <c r="H4361" s="4" t="s">
        <v>13882</v>
      </c>
      <c r="I4361" s="4" t="s">
        <v>3193</v>
      </c>
      <c r="J4361" s="4" t="s">
        <v>13883</v>
      </c>
      <c r="K4361" s="4" t="s">
        <v>13884</v>
      </c>
      <c r="L4361" s="5">
        <v>71303</v>
      </c>
    </row>
    <row r="4362" spans="1:12" x14ac:dyDescent="0.25">
      <c r="A4362" s="3" t="s">
        <v>13772</v>
      </c>
      <c r="B4362" s="4" t="s">
        <v>13773</v>
      </c>
      <c r="C4362" s="4" t="s">
        <v>25</v>
      </c>
      <c r="D4362" s="4" t="s">
        <v>26</v>
      </c>
      <c r="E4362" s="5" t="str">
        <f>"9170543"</f>
        <v>9170543</v>
      </c>
      <c r="F4362" s="3" t="s">
        <v>13885</v>
      </c>
      <c r="G4362" s="5">
        <v>2897032585</v>
      </c>
      <c r="H4362" s="4" t="s">
        <v>13886</v>
      </c>
      <c r="I4362" s="4" t="s">
        <v>13794</v>
      </c>
      <c r="J4362" s="4" t="s">
        <v>13887</v>
      </c>
      <c r="K4362" s="4" t="s">
        <v>13888</v>
      </c>
      <c r="L4362" s="5">
        <v>70007</v>
      </c>
    </row>
    <row r="4363" spans="1:12" x14ac:dyDescent="0.25">
      <c r="A4363" s="3" t="s">
        <v>13772</v>
      </c>
      <c r="B4363" s="4" t="s">
        <v>13773</v>
      </c>
      <c r="C4363" s="4" t="s">
        <v>25</v>
      </c>
      <c r="D4363" s="4" t="s">
        <v>26</v>
      </c>
      <c r="E4363" s="5" t="str">
        <f>"9170355"</f>
        <v>9170355</v>
      </c>
      <c r="F4363" s="3" t="s">
        <v>13889</v>
      </c>
      <c r="G4363" s="5">
        <v>2897061031</v>
      </c>
      <c r="H4363" s="4" t="s">
        <v>13890</v>
      </c>
      <c r="I4363" s="4" t="s">
        <v>13794</v>
      </c>
      <c r="J4363" s="4" t="s">
        <v>13891</v>
      </c>
      <c r="K4363" s="4" t="s">
        <v>13892</v>
      </c>
      <c r="L4363" s="5">
        <v>70005</v>
      </c>
    </row>
    <row r="4364" spans="1:12" x14ac:dyDescent="0.25">
      <c r="A4364" s="3" t="s">
        <v>13772</v>
      </c>
      <c r="B4364" s="4" t="s">
        <v>13773</v>
      </c>
      <c r="C4364" s="4" t="s">
        <v>25</v>
      </c>
      <c r="D4364" s="4" t="s">
        <v>26</v>
      </c>
      <c r="E4364" s="5" t="str">
        <f>"9170450"</f>
        <v>9170450</v>
      </c>
      <c r="F4364" s="3" t="s">
        <v>13893</v>
      </c>
      <c r="G4364" s="5">
        <v>2810253661</v>
      </c>
      <c r="H4364" s="4" t="s">
        <v>13894</v>
      </c>
      <c r="I4364" s="4" t="s">
        <v>3193</v>
      </c>
      <c r="J4364" s="4" t="s">
        <v>3193</v>
      </c>
      <c r="K4364" s="4" t="s">
        <v>13895</v>
      </c>
      <c r="L4364" s="5">
        <v>71305</v>
      </c>
    </row>
    <row r="4365" spans="1:12" x14ac:dyDescent="0.25">
      <c r="A4365" s="3" t="s">
        <v>13772</v>
      </c>
      <c r="B4365" s="4" t="s">
        <v>13773</v>
      </c>
      <c r="C4365" s="4" t="s">
        <v>25</v>
      </c>
      <c r="D4365" s="4" t="s">
        <v>26</v>
      </c>
      <c r="E4365" s="5" t="str">
        <f>"9170487"</f>
        <v>9170487</v>
      </c>
      <c r="F4365" s="3" t="s">
        <v>13896</v>
      </c>
      <c r="G4365" s="5">
        <v>2810232045</v>
      </c>
      <c r="H4365" s="4" t="s">
        <v>13897</v>
      </c>
      <c r="I4365" s="4" t="s">
        <v>3193</v>
      </c>
      <c r="J4365" s="4" t="s">
        <v>3193</v>
      </c>
      <c r="K4365" s="4" t="s">
        <v>13898</v>
      </c>
      <c r="L4365" s="5">
        <v>71305</v>
      </c>
    </row>
    <row r="4366" spans="1:12" x14ac:dyDescent="0.25">
      <c r="A4366" s="3" t="s">
        <v>13772</v>
      </c>
      <c r="B4366" s="4" t="s">
        <v>13773</v>
      </c>
      <c r="C4366" s="4" t="s">
        <v>25</v>
      </c>
      <c r="D4366" s="4" t="s">
        <v>26</v>
      </c>
      <c r="E4366" s="5" t="str">
        <f>"9170367"</f>
        <v>9170367</v>
      </c>
      <c r="F4366" s="3" t="s">
        <v>13899</v>
      </c>
      <c r="G4366" s="5">
        <v>2810244550</v>
      </c>
      <c r="H4366" s="4" t="s">
        <v>13900</v>
      </c>
      <c r="I4366" s="4" t="s">
        <v>3193</v>
      </c>
      <c r="J4366" s="4" t="s">
        <v>13901</v>
      </c>
      <c r="K4366" s="4" t="s">
        <v>13902</v>
      </c>
      <c r="L4366" s="5">
        <v>71601</v>
      </c>
    </row>
    <row r="4367" spans="1:12" x14ac:dyDescent="0.25">
      <c r="A4367" s="3" t="s">
        <v>13772</v>
      </c>
      <c r="B4367" s="4" t="s">
        <v>13773</v>
      </c>
      <c r="C4367" s="4" t="s">
        <v>25</v>
      </c>
      <c r="D4367" s="4" t="s">
        <v>26</v>
      </c>
      <c r="E4367" s="5" t="str">
        <f>"9170396"</f>
        <v>9170396</v>
      </c>
      <c r="F4367" s="3" t="s">
        <v>13903</v>
      </c>
      <c r="G4367" s="5">
        <v>2810240478</v>
      </c>
      <c r="H4367" s="4" t="s">
        <v>13904</v>
      </c>
      <c r="I4367" s="4" t="s">
        <v>3193</v>
      </c>
      <c r="J4367" s="4" t="s">
        <v>13901</v>
      </c>
      <c r="K4367" s="4" t="s">
        <v>13905</v>
      </c>
      <c r="L4367" s="5">
        <v>71601</v>
      </c>
    </row>
    <row r="4368" spans="1:12" x14ac:dyDescent="0.25">
      <c r="A4368" s="3" t="s">
        <v>13772</v>
      </c>
      <c r="B4368" s="4" t="s">
        <v>13773</v>
      </c>
      <c r="C4368" s="4" t="s">
        <v>25</v>
      </c>
      <c r="D4368" s="4" t="s">
        <v>26</v>
      </c>
      <c r="E4368" s="5" t="str">
        <f>"9170451"</f>
        <v>9170451</v>
      </c>
      <c r="F4368" s="3" t="s">
        <v>13906</v>
      </c>
      <c r="G4368" s="5">
        <v>2810260690</v>
      </c>
      <c r="H4368" s="4" t="s">
        <v>13907</v>
      </c>
      <c r="I4368" s="4" t="s">
        <v>3193</v>
      </c>
      <c r="J4368" s="4" t="s">
        <v>3193</v>
      </c>
      <c r="K4368" s="4" t="s">
        <v>13908</v>
      </c>
      <c r="L4368" s="5">
        <v>71305</v>
      </c>
    </row>
    <row r="4369" spans="1:12" x14ac:dyDescent="0.25">
      <c r="A4369" s="3" t="s">
        <v>13772</v>
      </c>
      <c r="B4369" s="4" t="s">
        <v>13773</v>
      </c>
      <c r="C4369" s="4" t="s">
        <v>25</v>
      </c>
      <c r="D4369" s="4" t="s">
        <v>26</v>
      </c>
      <c r="E4369" s="5" t="str">
        <f>"9170529"</f>
        <v>9170529</v>
      </c>
      <c r="F4369" s="3" t="s">
        <v>13909</v>
      </c>
      <c r="G4369" s="5">
        <v>2810223699</v>
      </c>
      <c r="H4369" s="4" t="s">
        <v>13910</v>
      </c>
      <c r="I4369" s="4" t="s">
        <v>3193</v>
      </c>
      <c r="J4369" s="4" t="s">
        <v>13911</v>
      </c>
      <c r="K4369" s="4" t="s">
        <v>13912</v>
      </c>
      <c r="L4369" s="5">
        <v>71601</v>
      </c>
    </row>
    <row r="4370" spans="1:12" x14ac:dyDescent="0.25">
      <c r="A4370" s="3" t="s">
        <v>13772</v>
      </c>
      <c r="B4370" s="4" t="s">
        <v>13773</v>
      </c>
      <c r="C4370" s="4" t="s">
        <v>25</v>
      </c>
      <c r="D4370" s="4" t="s">
        <v>26</v>
      </c>
      <c r="E4370" s="5" t="str">
        <f>"9170507"</f>
        <v>9170507</v>
      </c>
      <c r="F4370" s="3" t="s">
        <v>13913</v>
      </c>
      <c r="G4370" s="5">
        <v>2810236132</v>
      </c>
      <c r="H4370" s="4" t="s">
        <v>13914</v>
      </c>
      <c r="I4370" s="4" t="s">
        <v>3193</v>
      </c>
      <c r="J4370" s="4" t="s">
        <v>3193</v>
      </c>
      <c r="K4370" s="4" t="s">
        <v>13915</v>
      </c>
      <c r="L4370" s="5">
        <v>71305</v>
      </c>
    </row>
    <row r="4371" spans="1:12" x14ac:dyDescent="0.25">
      <c r="A4371" s="3" t="s">
        <v>13772</v>
      </c>
      <c r="B4371" s="4" t="s">
        <v>13773</v>
      </c>
      <c r="C4371" s="4" t="s">
        <v>25</v>
      </c>
      <c r="D4371" s="4" t="s">
        <v>26</v>
      </c>
      <c r="E4371" s="5" t="str">
        <f>"9170563"</f>
        <v>9170563</v>
      </c>
      <c r="F4371" s="3" t="s">
        <v>13916</v>
      </c>
      <c r="G4371" s="5">
        <v>2810363929</v>
      </c>
      <c r="H4371" s="4" t="s">
        <v>13917</v>
      </c>
      <c r="I4371" s="4" t="s">
        <v>3193</v>
      </c>
      <c r="J4371" s="4" t="s">
        <v>3193</v>
      </c>
      <c r="K4371" s="4" t="s">
        <v>13918</v>
      </c>
      <c r="L4371" s="5">
        <v>71309</v>
      </c>
    </row>
    <row r="4372" spans="1:12" x14ac:dyDescent="0.25">
      <c r="A4372" s="3" t="s">
        <v>13772</v>
      </c>
      <c r="B4372" s="4" t="s">
        <v>13773</v>
      </c>
      <c r="C4372" s="4" t="s">
        <v>25</v>
      </c>
      <c r="D4372" s="4" t="s">
        <v>26</v>
      </c>
      <c r="E4372" s="5" t="str">
        <f>"9170569"</f>
        <v>9170569</v>
      </c>
      <c r="F4372" s="3" t="s">
        <v>13919</v>
      </c>
      <c r="G4372" s="5">
        <v>2810310767</v>
      </c>
      <c r="H4372" s="4" t="s">
        <v>13920</v>
      </c>
      <c r="I4372" s="4" t="s">
        <v>3193</v>
      </c>
      <c r="J4372" s="4" t="s">
        <v>3193</v>
      </c>
      <c r="K4372" s="4" t="s">
        <v>13921</v>
      </c>
      <c r="L4372" s="5">
        <v>71410</v>
      </c>
    </row>
    <row r="4373" spans="1:12" x14ac:dyDescent="0.25">
      <c r="A4373" s="3" t="s">
        <v>13772</v>
      </c>
      <c r="B4373" s="4" t="s">
        <v>13773</v>
      </c>
      <c r="C4373" s="4" t="s">
        <v>25</v>
      </c>
      <c r="D4373" s="4" t="s">
        <v>26</v>
      </c>
      <c r="E4373" s="5" t="str">
        <f>"9170567"</f>
        <v>9170567</v>
      </c>
      <c r="F4373" s="3" t="s">
        <v>13922</v>
      </c>
      <c r="G4373" s="5">
        <v>2897024060</v>
      </c>
      <c r="H4373" s="4" t="s">
        <v>13923</v>
      </c>
      <c r="I4373" s="4" t="s">
        <v>13794</v>
      </c>
      <c r="J4373" s="4" t="s">
        <v>13924</v>
      </c>
      <c r="K4373" s="4" t="s">
        <v>13925</v>
      </c>
      <c r="L4373" s="5">
        <v>70014</v>
      </c>
    </row>
    <row r="4374" spans="1:12" x14ac:dyDescent="0.25">
      <c r="A4374" s="3" t="s">
        <v>13772</v>
      </c>
      <c r="B4374" s="4" t="s">
        <v>13773</v>
      </c>
      <c r="C4374" s="4" t="s">
        <v>14</v>
      </c>
      <c r="D4374" s="4" t="s">
        <v>15</v>
      </c>
      <c r="E4374" s="5" t="str">
        <f>"9170546"</f>
        <v>9170546</v>
      </c>
      <c r="F4374" s="3" t="s">
        <v>13926</v>
      </c>
      <c r="G4374" s="5">
        <v>2810261362</v>
      </c>
      <c r="H4374" s="4" t="s">
        <v>13927</v>
      </c>
      <c r="I4374" s="4" t="s">
        <v>3193</v>
      </c>
      <c r="J4374" s="4" t="s">
        <v>13779</v>
      </c>
      <c r="K4374" s="4" t="s">
        <v>13928</v>
      </c>
      <c r="L4374" s="5">
        <v>71305</v>
      </c>
    </row>
    <row r="4375" spans="1:12" x14ac:dyDescent="0.25">
      <c r="A4375" s="3" t="s">
        <v>13772</v>
      </c>
      <c r="B4375" s="4" t="s">
        <v>13773</v>
      </c>
      <c r="C4375" s="4" t="s">
        <v>14</v>
      </c>
      <c r="D4375" s="4" t="s">
        <v>15</v>
      </c>
      <c r="E4375" s="5" t="str">
        <f>"9170338"</f>
        <v>9170338</v>
      </c>
      <c r="F4375" s="3" t="s">
        <v>13929</v>
      </c>
      <c r="G4375" s="5">
        <v>2892051377</v>
      </c>
      <c r="H4375" s="4" t="s">
        <v>13930</v>
      </c>
      <c r="I4375" s="4" t="s">
        <v>13931</v>
      </c>
      <c r="J4375" s="4" t="s">
        <v>13932</v>
      </c>
      <c r="K4375" s="4" t="s">
        <v>13933</v>
      </c>
      <c r="L4375" s="5">
        <v>70200</v>
      </c>
    </row>
    <row r="4376" spans="1:12" x14ac:dyDescent="0.25">
      <c r="A4376" s="3" t="s">
        <v>13772</v>
      </c>
      <c r="B4376" s="4" t="s">
        <v>13773</v>
      </c>
      <c r="C4376" s="4" t="s">
        <v>14</v>
      </c>
      <c r="D4376" s="4" t="s">
        <v>15</v>
      </c>
      <c r="E4376" s="5" t="str">
        <f>"9170254"</f>
        <v>9170254</v>
      </c>
      <c r="F4376" s="3" t="s">
        <v>13934</v>
      </c>
      <c r="G4376" s="5">
        <v>2810245117</v>
      </c>
      <c r="H4376" s="4" t="s">
        <v>13935</v>
      </c>
      <c r="I4376" s="4" t="s">
        <v>3193</v>
      </c>
      <c r="J4376" s="4" t="s">
        <v>13779</v>
      </c>
      <c r="K4376" s="4" t="s">
        <v>13936</v>
      </c>
      <c r="L4376" s="5">
        <v>71307</v>
      </c>
    </row>
    <row r="4377" spans="1:12" x14ac:dyDescent="0.25">
      <c r="A4377" s="3" t="s">
        <v>13772</v>
      </c>
      <c r="B4377" s="4" t="s">
        <v>13773</v>
      </c>
      <c r="C4377" s="4" t="s">
        <v>14</v>
      </c>
      <c r="D4377" s="4" t="s">
        <v>15</v>
      </c>
      <c r="E4377" s="5" t="str">
        <f>"9170205"</f>
        <v>9170205</v>
      </c>
      <c r="F4377" s="3" t="s">
        <v>13937</v>
      </c>
      <c r="G4377" s="5">
        <v>2810762030</v>
      </c>
      <c r="H4377" s="4" t="s">
        <v>13938</v>
      </c>
      <c r="I4377" s="4" t="s">
        <v>13794</v>
      </c>
      <c r="J4377" s="4" t="s">
        <v>13939</v>
      </c>
      <c r="K4377" s="4" t="s">
        <v>13940</v>
      </c>
      <c r="L4377" s="5">
        <v>71500</v>
      </c>
    </row>
    <row r="4378" spans="1:12" x14ac:dyDescent="0.25">
      <c r="A4378" s="3" t="s">
        <v>13772</v>
      </c>
      <c r="B4378" s="4" t="s">
        <v>13773</v>
      </c>
      <c r="C4378" s="4" t="s">
        <v>25</v>
      </c>
      <c r="D4378" s="4" t="s">
        <v>26</v>
      </c>
      <c r="E4378" s="5" t="str">
        <f>"9170371"</f>
        <v>9170371</v>
      </c>
      <c r="F4378" s="3" t="s">
        <v>13941</v>
      </c>
      <c r="G4378" s="5">
        <v>2891031438</v>
      </c>
      <c r="H4378" s="4" t="s">
        <v>13942</v>
      </c>
      <c r="I4378" s="4" t="s">
        <v>13943</v>
      </c>
      <c r="J4378" s="4" t="s">
        <v>13944</v>
      </c>
      <c r="K4378" s="4" t="s">
        <v>13945</v>
      </c>
      <c r="L4378" s="5">
        <v>70006</v>
      </c>
    </row>
    <row r="4379" spans="1:12" x14ac:dyDescent="0.25">
      <c r="A4379" s="3" t="s">
        <v>13772</v>
      </c>
      <c r="B4379" s="4" t="s">
        <v>13773</v>
      </c>
      <c r="C4379" s="4" t="s">
        <v>14</v>
      </c>
      <c r="D4379" s="4" t="s">
        <v>15</v>
      </c>
      <c r="E4379" s="5" t="str">
        <f>"9170268"</f>
        <v>9170268</v>
      </c>
      <c r="F4379" s="3" t="s">
        <v>13946</v>
      </c>
      <c r="G4379" s="5">
        <v>2892022710</v>
      </c>
      <c r="H4379" s="4" t="s">
        <v>13947</v>
      </c>
      <c r="I4379" s="4" t="s">
        <v>13931</v>
      </c>
      <c r="J4379" s="4" t="s">
        <v>13948</v>
      </c>
      <c r="K4379" s="4" t="s">
        <v>13949</v>
      </c>
      <c r="L4379" s="5">
        <v>70400</v>
      </c>
    </row>
    <row r="4380" spans="1:12" x14ac:dyDescent="0.25">
      <c r="A4380" s="3" t="s">
        <v>13772</v>
      </c>
      <c r="B4380" s="4" t="s">
        <v>13773</v>
      </c>
      <c r="C4380" s="4" t="s">
        <v>14</v>
      </c>
      <c r="D4380" s="4" t="s">
        <v>15</v>
      </c>
      <c r="E4380" s="5" t="str">
        <f>"9170235"</f>
        <v>9170235</v>
      </c>
      <c r="F4380" s="3" t="s">
        <v>13950</v>
      </c>
      <c r="G4380" s="5">
        <v>2891031258</v>
      </c>
      <c r="H4380" s="4" t="s">
        <v>13951</v>
      </c>
      <c r="I4380" s="4" t="s">
        <v>13943</v>
      </c>
      <c r="J4380" s="4" t="s">
        <v>13952</v>
      </c>
      <c r="K4380" s="4" t="s">
        <v>13945</v>
      </c>
      <c r="L4380" s="5">
        <v>70006</v>
      </c>
    </row>
    <row r="4381" spans="1:12" x14ac:dyDescent="0.25">
      <c r="A4381" s="3" t="s">
        <v>13772</v>
      </c>
      <c r="B4381" s="4" t="s">
        <v>13773</v>
      </c>
      <c r="C4381" s="4" t="s">
        <v>25</v>
      </c>
      <c r="D4381" s="4" t="s">
        <v>821</v>
      </c>
      <c r="E4381" s="5" t="str">
        <f>"9170594"</f>
        <v>9170594</v>
      </c>
      <c r="F4381" s="3" t="s">
        <v>13953</v>
      </c>
      <c r="G4381" s="5">
        <v>2810528958</v>
      </c>
      <c r="H4381" s="4" t="s">
        <v>13954</v>
      </c>
      <c r="I4381" s="4" t="s">
        <v>3193</v>
      </c>
      <c r="J4381" s="4" t="s">
        <v>3193</v>
      </c>
      <c r="K4381" s="4" t="s">
        <v>13955</v>
      </c>
      <c r="L4381" s="5">
        <v>71304</v>
      </c>
    </row>
    <row r="4382" spans="1:12" x14ac:dyDescent="0.25">
      <c r="A4382" s="3" t="s">
        <v>13772</v>
      </c>
      <c r="B4382" s="4" t="s">
        <v>13773</v>
      </c>
      <c r="C4382" s="4" t="s">
        <v>25</v>
      </c>
      <c r="D4382" s="4" t="s">
        <v>26</v>
      </c>
      <c r="E4382" s="5" t="str">
        <f>"9170187"</f>
        <v>9170187</v>
      </c>
      <c r="F4382" s="3" t="s">
        <v>13956</v>
      </c>
      <c r="G4382" s="5">
        <v>2810211623</v>
      </c>
      <c r="H4382" s="4" t="s">
        <v>13957</v>
      </c>
      <c r="I4382" s="4" t="s">
        <v>3193</v>
      </c>
      <c r="J4382" s="4" t="s">
        <v>3193</v>
      </c>
      <c r="K4382" s="4" t="s">
        <v>13958</v>
      </c>
      <c r="L4382" s="5">
        <v>71409</v>
      </c>
    </row>
    <row r="4383" spans="1:12" x14ac:dyDescent="0.25">
      <c r="A4383" s="3" t="s">
        <v>13772</v>
      </c>
      <c r="B4383" s="4" t="s">
        <v>13773</v>
      </c>
      <c r="C4383" s="4" t="s">
        <v>25</v>
      </c>
      <c r="D4383" s="4" t="s">
        <v>26</v>
      </c>
      <c r="E4383" s="5" t="str">
        <f>"9170261"</f>
        <v>9170261</v>
      </c>
      <c r="F4383" s="3" t="s">
        <v>13959</v>
      </c>
      <c r="G4383" s="5">
        <v>2810228697</v>
      </c>
      <c r="H4383" s="4" t="s">
        <v>13960</v>
      </c>
      <c r="I4383" s="4" t="s">
        <v>3193</v>
      </c>
      <c r="J4383" s="4" t="s">
        <v>13961</v>
      </c>
      <c r="K4383" s="4" t="s">
        <v>13962</v>
      </c>
      <c r="L4383" s="5">
        <v>71601</v>
      </c>
    </row>
    <row r="4384" spans="1:12" x14ac:dyDescent="0.25">
      <c r="A4384" s="3" t="s">
        <v>13772</v>
      </c>
      <c r="B4384" s="4" t="s">
        <v>13773</v>
      </c>
      <c r="C4384" s="4" t="s">
        <v>25</v>
      </c>
      <c r="D4384" s="4" t="s">
        <v>26</v>
      </c>
      <c r="E4384" s="5" t="str">
        <f>"9170556"</f>
        <v>9170556</v>
      </c>
      <c r="F4384" s="3" t="s">
        <v>13963</v>
      </c>
      <c r="G4384" s="5">
        <v>2810239763</v>
      </c>
      <c r="H4384" s="4" t="s">
        <v>13964</v>
      </c>
      <c r="I4384" s="4" t="s">
        <v>3193</v>
      </c>
      <c r="J4384" s="4" t="s">
        <v>3193</v>
      </c>
      <c r="K4384" s="4" t="s">
        <v>13965</v>
      </c>
      <c r="L4384" s="5">
        <v>71305</v>
      </c>
    </row>
    <row r="4385" spans="1:12" x14ac:dyDescent="0.25">
      <c r="A4385" s="3" t="s">
        <v>13772</v>
      </c>
      <c r="B4385" s="4" t="s">
        <v>13773</v>
      </c>
      <c r="C4385" s="4" t="s">
        <v>25</v>
      </c>
      <c r="D4385" s="4" t="s">
        <v>26</v>
      </c>
      <c r="E4385" s="5" t="str">
        <f>"9170592"</f>
        <v>9170592</v>
      </c>
      <c r="F4385" s="3" t="s">
        <v>13966</v>
      </c>
      <c r="G4385" s="5">
        <v>2810230907</v>
      </c>
      <c r="H4385" s="4" t="s">
        <v>13967</v>
      </c>
      <c r="I4385" s="4" t="s">
        <v>3193</v>
      </c>
      <c r="J4385" s="4" t="s">
        <v>13968</v>
      </c>
      <c r="K4385" s="4" t="s">
        <v>13969</v>
      </c>
      <c r="L4385" s="5">
        <v>71500</v>
      </c>
    </row>
    <row r="4386" spans="1:12" x14ac:dyDescent="0.25">
      <c r="A4386" s="3" t="s">
        <v>13772</v>
      </c>
      <c r="B4386" s="4" t="s">
        <v>13773</v>
      </c>
      <c r="C4386" s="4" t="s">
        <v>25</v>
      </c>
      <c r="D4386" s="4" t="s">
        <v>26</v>
      </c>
      <c r="E4386" s="5" t="str">
        <f>"9170457"</f>
        <v>9170457</v>
      </c>
      <c r="F4386" s="3" t="s">
        <v>13970</v>
      </c>
      <c r="G4386" s="5">
        <v>2810823321</v>
      </c>
      <c r="H4386" s="4" t="s">
        <v>13971</v>
      </c>
      <c r="I4386" s="4" t="s">
        <v>13972</v>
      </c>
      <c r="J4386" s="4" t="s">
        <v>13973</v>
      </c>
      <c r="K4386" s="4" t="s">
        <v>13974</v>
      </c>
      <c r="L4386" s="5">
        <v>71414</v>
      </c>
    </row>
    <row r="4387" spans="1:12" x14ac:dyDescent="0.25">
      <c r="A4387" s="3" t="s">
        <v>13772</v>
      </c>
      <c r="B4387" s="4" t="s">
        <v>13773</v>
      </c>
      <c r="C4387" s="4" t="s">
        <v>14</v>
      </c>
      <c r="D4387" s="4" t="s">
        <v>15</v>
      </c>
      <c r="E4387" s="5" t="str">
        <f>"9170048"</f>
        <v>9170048</v>
      </c>
      <c r="F4387" s="3" t="s">
        <v>13975</v>
      </c>
      <c r="G4387" s="5">
        <v>2810283303</v>
      </c>
      <c r="H4387" s="4" t="s">
        <v>13976</v>
      </c>
      <c r="I4387" s="4" t="s">
        <v>3193</v>
      </c>
      <c r="J4387" s="4" t="s">
        <v>13779</v>
      </c>
      <c r="K4387" s="4" t="s">
        <v>13977</v>
      </c>
      <c r="L4387" s="5">
        <v>71202</v>
      </c>
    </row>
    <row r="4388" spans="1:12" x14ac:dyDescent="0.25">
      <c r="A4388" s="3" t="s">
        <v>13772</v>
      </c>
      <c r="B4388" s="4" t="s">
        <v>13773</v>
      </c>
      <c r="C4388" s="4" t="s">
        <v>25</v>
      </c>
      <c r="D4388" s="4" t="s">
        <v>26</v>
      </c>
      <c r="E4388" s="5" t="str">
        <f>"9170449"</f>
        <v>9170449</v>
      </c>
      <c r="F4388" s="3" t="s">
        <v>13978</v>
      </c>
      <c r="G4388" s="5">
        <v>2810262915</v>
      </c>
      <c r="H4388" s="4" t="s">
        <v>13979</v>
      </c>
      <c r="I4388" s="4" t="s">
        <v>3193</v>
      </c>
      <c r="J4388" s="4" t="s">
        <v>3193</v>
      </c>
      <c r="K4388" s="4" t="s">
        <v>13980</v>
      </c>
      <c r="L4388" s="5">
        <v>71303</v>
      </c>
    </row>
    <row r="4389" spans="1:12" x14ac:dyDescent="0.25">
      <c r="A4389" s="3" t="s">
        <v>13772</v>
      </c>
      <c r="B4389" s="4" t="s">
        <v>13773</v>
      </c>
      <c r="C4389" s="4" t="s">
        <v>14</v>
      </c>
      <c r="D4389" s="4" t="s">
        <v>15</v>
      </c>
      <c r="E4389" s="5" t="str">
        <f>"9170495"</f>
        <v>9170495</v>
      </c>
      <c r="F4389" s="3" t="s">
        <v>13981</v>
      </c>
      <c r="G4389" s="5">
        <v>2892023325</v>
      </c>
      <c r="H4389" s="4" t="s">
        <v>13982</v>
      </c>
      <c r="I4389" s="4" t="s">
        <v>13931</v>
      </c>
      <c r="J4389" s="4" t="s">
        <v>13983</v>
      </c>
      <c r="K4389" s="4"/>
      <c r="L4389" s="5">
        <v>70400</v>
      </c>
    </row>
    <row r="4390" spans="1:12" x14ac:dyDescent="0.25">
      <c r="A4390" s="3" t="s">
        <v>13772</v>
      </c>
      <c r="B4390" s="4" t="s">
        <v>13773</v>
      </c>
      <c r="C4390" s="4" t="s">
        <v>14</v>
      </c>
      <c r="D4390" s="4" t="s">
        <v>15</v>
      </c>
      <c r="E4390" s="5" t="str">
        <f>"9170222"</f>
        <v>9170222</v>
      </c>
      <c r="F4390" s="3" t="s">
        <v>13984</v>
      </c>
      <c r="G4390" s="5">
        <v>2810781325</v>
      </c>
      <c r="H4390" s="4" t="s">
        <v>13985</v>
      </c>
      <c r="I4390" s="4" t="s">
        <v>13794</v>
      </c>
      <c r="J4390" s="4" t="s">
        <v>13986</v>
      </c>
      <c r="K4390" s="4" t="s">
        <v>13987</v>
      </c>
      <c r="L4390" s="5">
        <v>70008</v>
      </c>
    </row>
    <row r="4391" spans="1:12" x14ac:dyDescent="0.25">
      <c r="A4391" s="3" t="s">
        <v>13772</v>
      </c>
      <c r="B4391" s="4" t="s">
        <v>13773</v>
      </c>
      <c r="C4391" s="4" t="s">
        <v>25</v>
      </c>
      <c r="D4391" s="4" t="s">
        <v>26</v>
      </c>
      <c r="E4391" s="5" t="str">
        <f>"9170508"</f>
        <v>9170508</v>
      </c>
      <c r="F4391" s="3" t="s">
        <v>13988</v>
      </c>
      <c r="G4391" s="5">
        <v>2810212076</v>
      </c>
      <c r="H4391" s="4" t="s">
        <v>13989</v>
      </c>
      <c r="I4391" s="4" t="s">
        <v>3193</v>
      </c>
      <c r="J4391" s="4" t="s">
        <v>3193</v>
      </c>
      <c r="K4391" s="4" t="s">
        <v>13990</v>
      </c>
      <c r="L4391" s="5">
        <v>71409</v>
      </c>
    </row>
    <row r="4392" spans="1:12" x14ac:dyDescent="0.25">
      <c r="A4392" s="3" t="s">
        <v>13772</v>
      </c>
      <c r="B4392" s="4" t="s">
        <v>13773</v>
      </c>
      <c r="C4392" s="4" t="s">
        <v>25</v>
      </c>
      <c r="D4392" s="4" t="s">
        <v>26</v>
      </c>
      <c r="E4392" s="5" t="str">
        <f>"9170389"</f>
        <v>9170389</v>
      </c>
      <c r="F4392" s="3" t="s">
        <v>13991</v>
      </c>
      <c r="G4392" s="5">
        <v>2891023312</v>
      </c>
      <c r="H4392" s="4" t="s">
        <v>13992</v>
      </c>
      <c r="I4392" s="4" t="s">
        <v>13943</v>
      </c>
      <c r="J4392" s="4" t="s">
        <v>13993</v>
      </c>
      <c r="K4392" s="4" t="s">
        <v>13994</v>
      </c>
      <c r="L4392" s="5">
        <v>70300</v>
      </c>
    </row>
    <row r="4393" spans="1:12" x14ac:dyDescent="0.25">
      <c r="A4393" s="3" t="s">
        <v>13772</v>
      </c>
      <c r="B4393" s="4" t="s">
        <v>13773</v>
      </c>
      <c r="C4393" s="4" t="s">
        <v>25</v>
      </c>
      <c r="D4393" s="4" t="s">
        <v>26</v>
      </c>
      <c r="E4393" s="5" t="str">
        <f>"9170601"</f>
        <v>9170601</v>
      </c>
      <c r="F4393" s="3" t="s">
        <v>13995</v>
      </c>
      <c r="G4393" s="5">
        <v>2810319772</v>
      </c>
      <c r="H4393" s="4" t="s">
        <v>13996</v>
      </c>
      <c r="I4393" s="4" t="s">
        <v>3193</v>
      </c>
      <c r="J4393" s="4" t="s">
        <v>3193</v>
      </c>
      <c r="K4393" s="4" t="s">
        <v>13997</v>
      </c>
      <c r="L4393" s="5">
        <v>71304</v>
      </c>
    </row>
    <row r="4394" spans="1:12" x14ac:dyDescent="0.25">
      <c r="A4394" s="3" t="s">
        <v>13772</v>
      </c>
      <c r="B4394" s="4" t="s">
        <v>13773</v>
      </c>
      <c r="C4394" s="4" t="s">
        <v>25</v>
      </c>
      <c r="D4394" s="4" t="s">
        <v>26</v>
      </c>
      <c r="E4394" s="5" t="str">
        <f>"9170411"</f>
        <v>9170411</v>
      </c>
      <c r="F4394" s="3" t="s">
        <v>13998</v>
      </c>
      <c r="G4394" s="5">
        <v>2810823950</v>
      </c>
      <c r="H4394" s="4" t="s">
        <v>13999</v>
      </c>
      <c r="I4394" s="4" t="s">
        <v>13972</v>
      </c>
      <c r="J4394" s="4" t="s">
        <v>14000</v>
      </c>
      <c r="K4394" s="4" t="s">
        <v>14000</v>
      </c>
      <c r="L4394" s="5">
        <v>71500</v>
      </c>
    </row>
    <row r="4395" spans="1:12" x14ac:dyDescent="0.25">
      <c r="A4395" s="3" t="s">
        <v>13772</v>
      </c>
      <c r="B4395" s="4" t="s">
        <v>13773</v>
      </c>
      <c r="C4395" s="4" t="s">
        <v>14</v>
      </c>
      <c r="D4395" s="4" t="s">
        <v>15</v>
      </c>
      <c r="E4395" s="5" t="str">
        <f>"9170224"</f>
        <v>9170224</v>
      </c>
      <c r="F4395" s="3" t="s">
        <v>14001</v>
      </c>
      <c r="G4395" s="5">
        <v>2810771214</v>
      </c>
      <c r="H4395" s="4" t="s">
        <v>14002</v>
      </c>
      <c r="I4395" s="4" t="s">
        <v>13794</v>
      </c>
      <c r="J4395" s="4" t="s">
        <v>14003</v>
      </c>
      <c r="K4395" s="4" t="s">
        <v>14003</v>
      </c>
      <c r="L4395" s="5">
        <v>70008</v>
      </c>
    </row>
    <row r="4396" spans="1:12" x14ac:dyDescent="0.25">
      <c r="A4396" s="3" t="s">
        <v>13772</v>
      </c>
      <c r="B4396" s="4" t="s">
        <v>13773</v>
      </c>
      <c r="C4396" s="4" t="s">
        <v>25</v>
      </c>
      <c r="D4396" s="4" t="s">
        <v>26</v>
      </c>
      <c r="E4396" s="5" t="str">
        <f>"9170570"</f>
        <v>9170570</v>
      </c>
      <c r="F4396" s="3" t="s">
        <v>14004</v>
      </c>
      <c r="G4396" s="5">
        <v>2810318507</v>
      </c>
      <c r="H4396" s="4" t="s">
        <v>14005</v>
      </c>
      <c r="I4396" s="4" t="s">
        <v>13972</v>
      </c>
      <c r="J4396" s="4" t="s">
        <v>14006</v>
      </c>
      <c r="K4396" s="4" t="s">
        <v>14007</v>
      </c>
      <c r="L4396" s="5">
        <v>71414</v>
      </c>
    </row>
    <row r="4397" spans="1:12" x14ac:dyDescent="0.25">
      <c r="A4397" s="3" t="s">
        <v>13772</v>
      </c>
      <c r="B4397" s="4" t="s">
        <v>13773</v>
      </c>
      <c r="C4397" s="4" t="s">
        <v>25</v>
      </c>
      <c r="D4397" s="4" t="s">
        <v>26</v>
      </c>
      <c r="E4397" s="5" t="str">
        <f>"9170448"</f>
        <v>9170448</v>
      </c>
      <c r="F4397" s="3" t="s">
        <v>14008</v>
      </c>
      <c r="G4397" s="5">
        <v>2810315229</v>
      </c>
      <c r="H4397" s="4" t="s">
        <v>14009</v>
      </c>
      <c r="I4397" s="4" t="s">
        <v>13972</v>
      </c>
      <c r="J4397" s="4" t="s">
        <v>13973</v>
      </c>
      <c r="K4397" s="4" t="s">
        <v>14010</v>
      </c>
      <c r="L4397" s="5">
        <v>71500</v>
      </c>
    </row>
    <row r="4398" spans="1:12" x14ac:dyDescent="0.25">
      <c r="A4398" s="3" t="s">
        <v>13772</v>
      </c>
      <c r="B4398" s="4" t="s">
        <v>13773</v>
      </c>
      <c r="C4398" s="4" t="s">
        <v>14</v>
      </c>
      <c r="D4398" s="4" t="s">
        <v>15</v>
      </c>
      <c r="E4398" s="5" t="str">
        <f>"9170533"</f>
        <v>9170533</v>
      </c>
      <c r="F4398" s="3" t="s">
        <v>14011</v>
      </c>
      <c r="G4398" s="5">
        <v>2810239434</v>
      </c>
      <c r="H4398" s="4" t="s">
        <v>14012</v>
      </c>
      <c r="I4398" s="4" t="s">
        <v>3193</v>
      </c>
      <c r="J4398" s="4" t="s">
        <v>13779</v>
      </c>
      <c r="K4398" s="4" t="s">
        <v>14013</v>
      </c>
      <c r="L4398" s="5">
        <v>71409</v>
      </c>
    </row>
    <row r="4399" spans="1:12" x14ac:dyDescent="0.25">
      <c r="A4399" s="3" t="s">
        <v>13772</v>
      </c>
      <c r="B4399" s="4" t="s">
        <v>13773</v>
      </c>
      <c r="C4399" s="4" t="s">
        <v>14</v>
      </c>
      <c r="D4399" s="4" t="s">
        <v>15</v>
      </c>
      <c r="E4399" s="5" t="str">
        <f>"9170200"</f>
        <v>9170200</v>
      </c>
      <c r="F4399" s="3" t="s">
        <v>14014</v>
      </c>
      <c r="G4399" s="5">
        <v>2810741264</v>
      </c>
      <c r="H4399" s="4" t="s">
        <v>14015</v>
      </c>
      <c r="I4399" s="4" t="s">
        <v>13789</v>
      </c>
      <c r="J4399" s="4" t="s">
        <v>14016</v>
      </c>
      <c r="K4399" s="4" t="s">
        <v>14016</v>
      </c>
      <c r="L4399" s="5">
        <v>70100</v>
      </c>
    </row>
    <row r="4400" spans="1:12" x14ac:dyDescent="0.25">
      <c r="A4400" s="3" t="s">
        <v>13772</v>
      </c>
      <c r="B4400" s="4" t="s">
        <v>13773</v>
      </c>
      <c r="C4400" s="4" t="s">
        <v>14</v>
      </c>
      <c r="D4400" s="4" t="s">
        <v>15</v>
      </c>
      <c r="E4400" s="5" t="str">
        <f>"9170198"</f>
        <v>9170198</v>
      </c>
      <c r="F4400" s="3" t="s">
        <v>14017</v>
      </c>
      <c r="G4400" s="5">
        <v>2810286551</v>
      </c>
      <c r="H4400" s="4" t="s">
        <v>14018</v>
      </c>
      <c r="I4400" s="4" t="s">
        <v>3193</v>
      </c>
      <c r="J4400" s="4" t="s">
        <v>13779</v>
      </c>
      <c r="K4400" s="4" t="s">
        <v>14019</v>
      </c>
      <c r="L4400" s="5">
        <v>71306</v>
      </c>
    </row>
    <row r="4401" spans="1:12" x14ac:dyDescent="0.25">
      <c r="A4401" s="3" t="s">
        <v>13772</v>
      </c>
      <c r="B4401" s="4" t="s">
        <v>13773</v>
      </c>
      <c r="C4401" s="4" t="s">
        <v>14</v>
      </c>
      <c r="D4401" s="4" t="s">
        <v>15</v>
      </c>
      <c r="E4401" s="5" t="str">
        <f>"9170494"</f>
        <v>9170494</v>
      </c>
      <c r="F4401" s="3" t="s">
        <v>14020</v>
      </c>
      <c r="G4401" s="5">
        <v>2810228361</v>
      </c>
      <c r="H4401" s="4" t="s">
        <v>14021</v>
      </c>
      <c r="I4401" s="4" t="s">
        <v>3193</v>
      </c>
      <c r="J4401" s="4" t="s">
        <v>14022</v>
      </c>
      <c r="K4401" s="4" t="s">
        <v>14019</v>
      </c>
      <c r="L4401" s="5">
        <v>71306</v>
      </c>
    </row>
    <row r="4402" spans="1:12" x14ac:dyDescent="0.25">
      <c r="A4402" s="3" t="s">
        <v>13772</v>
      </c>
      <c r="B4402" s="4" t="s">
        <v>13773</v>
      </c>
      <c r="C4402" s="4" t="s">
        <v>14</v>
      </c>
      <c r="D4402" s="4" t="s">
        <v>15</v>
      </c>
      <c r="E4402" s="5" t="str">
        <f>"9170120"</f>
        <v>9170120</v>
      </c>
      <c r="F4402" s="3" t="s">
        <v>14023</v>
      </c>
      <c r="G4402" s="5">
        <v>2810881577</v>
      </c>
      <c r="H4402" s="4" t="s">
        <v>14024</v>
      </c>
      <c r="I4402" s="4" t="s">
        <v>3193</v>
      </c>
      <c r="J4402" s="4" t="s">
        <v>14025</v>
      </c>
      <c r="K4402" s="4" t="s">
        <v>14026</v>
      </c>
      <c r="L4402" s="5">
        <v>71500</v>
      </c>
    </row>
    <row r="4403" spans="1:12" x14ac:dyDescent="0.25">
      <c r="A4403" s="3" t="s">
        <v>13772</v>
      </c>
      <c r="B4403" s="4" t="s">
        <v>13773</v>
      </c>
      <c r="C4403" s="4" t="s">
        <v>14</v>
      </c>
      <c r="D4403" s="4" t="s">
        <v>15</v>
      </c>
      <c r="E4403" s="5" t="str">
        <f>"9170061"</f>
        <v>9170061</v>
      </c>
      <c r="F4403" s="3" t="s">
        <v>14027</v>
      </c>
      <c r="G4403" s="5">
        <v>2810791254</v>
      </c>
      <c r="H4403" s="4" t="s">
        <v>14028</v>
      </c>
      <c r="I4403" s="4" t="s">
        <v>3193</v>
      </c>
      <c r="J4403" s="4" t="s">
        <v>14029</v>
      </c>
      <c r="K4403" s="4" t="s">
        <v>14029</v>
      </c>
      <c r="L4403" s="5">
        <v>70011</v>
      </c>
    </row>
    <row r="4404" spans="1:12" x14ac:dyDescent="0.25">
      <c r="A4404" s="3" t="s">
        <v>13772</v>
      </c>
      <c r="B4404" s="4" t="s">
        <v>13773</v>
      </c>
      <c r="C4404" s="4" t="s">
        <v>14</v>
      </c>
      <c r="D4404" s="4" t="s">
        <v>15</v>
      </c>
      <c r="E4404" s="5" t="str">
        <f>"9170534"</f>
        <v>9170534</v>
      </c>
      <c r="F4404" s="3" t="s">
        <v>14030</v>
      </c>
      <c r="G4404" s="5">
        <v>2810323225</v>
      </c>
      <c r="H4404" s="4" t="s">
        <v>14031</v>
      </c>
      <c r="I4404" s="4" t="s">
        <v>3193</v>
      </c>
      <c r="J4404" s="4" t="s">
        <v>13779</v>
      </c>
      <c r="K4404" s="4" t="s">
        <v>14032</v>
      </c>
      <c r="L4404" s="5">
        <v>71409</v>
      </c>
    </row>
    <row r="4405" spans="1:12" x14ac:dyDescent="0.25">
      <c r="A4405" s="3" t="s">
        <v>13772</v>
      </c>
      <c r="B4405" s="4" t="s">
        <v>13773</v>
      </c>
      <c r="C4405" s="4" t="s">
        <v>14</v>
      </c>
      <c r="D4405" s="4" t="s">
        <v>15</v>
      </c>
      <c r="E4405" s="5" t="str">
        <f>"9170264"</f>
        <v>9170264</v>
      </c>
      <c r="F4405" s="3" t="s">
        <v>14033</v>
      </c>
      <c r="G4405" s="5">
        <v>2810332030</v>
      </c>
      <c r="H4405" s="4" t="s">
        <v>14034</v>
      </c>
      <c r="I4405" s="4" t="s">
        <v>3193</v>
      </c>
      <c r="J4405" s="4" t="s">
        <v>13911</v>
      </c>
      <c r="K4405" s="4" t="s">
        <v>13962</v>
      </c>
      <c r="L4405" s="5">
        <v>71601</v>
      </c>
    </row>
    <row r="4406" spans="1:12" x14ac:dyDescent="0.25">
      <c r="A4406" s="3" t="s">
        <v>13772</v>
      </c>
      <c r="B4406" s="4" t="s">
        <v>13773</v>
      </c>
      <c r="C4406" s="4" t="s">
        <v>14</v>
      </c>
      <c r="D4406" s="4" t="s">
        <v>15</v>
      </c>
      <c r="E4406" s="5" t="str">
        <f>"9521015"</f>
        <v>9521015</v>
      </c>
      <c r="F4406" s="3" t="s">
        <v>14035</v>
      </c>
      <c r="G4406" s="5">
        <v>2897029138</v>
      </c>
      <c r="H4406" s="4" t="s">
        <v>14036</v>
      </c>
      <c r="I4406" s="4" t="s">
        <v>13794</v>
      </c>
      <c r="J4406" s="4" t="s">
        <v>14037</v>
      </c>
      <c r="K4406" s="4" t="s">
        <v>14038</v>
      </c>
      <c r="L4406" s="5">
        <v>70014</v>
      </c>
    </row>
    <row r="4407" spans="1:12" x14ac:dyDescent="0.25">
      <c r="A4407" s="3" t="s">
        <v>13772</v>
      </c>
      <c r="B4407" s="4" t="s">
        <v>13773</v>
      </c>
      <c r="C4407" s="4" t="s">
        <v>14</v>
      </c>
      <c r="D4407" s="4" t="s">
        <v>15</v>
      </c>
      <c r="E4407" s="5" t="str">
        <f>"9170423"</f>
        <v>9170423</v>
      </c>
      <c r="F4407" s="3" t="s">
        <v>14039</v>
      </c>
      <c r="G4407" s="5">
        <v>2810239612</v>
      </c>
      <c r="H4407" s="4" t="s">
        <v>14040</v>
      </c>
      <c r="I4407" s="4" t="s">
        <v>3193</v>
      </c>
      <c r="J4407" s="4" t="s">
        <v>13779</v>
      </c>
      <c r="K4407" s="4" t="s">
        <v>13845</v>
      </c>
      <c r="L4407" s="5">
        <v>71307</v>
      </c>
    </row>
    <row r="4408" spans="1:12" x14ac:dyDescent="0.25">
      <c r="A4408" s="3" t="s">
        <v>13772</v>
      </c>
      <c r="B4408" s="4" t="s">
        <v>13773</v>
      </c>
      <c r="C4408" s="4" t="s">
        <v>14</v>
      </c>
      <c r="D4408" s="4" t="s">
        <v>15</v>
      </c>
      <c r="E4408" s="5" t="str">
        <f>"9170020"</f>
        <v>9170020</v>
      </c>
      <c r="F4408" s="3" t="s">
        <v>14041</v>
      </c>
      <c r="G4408" s="5">
        <v>2810821476</v>
      </c>
      <c r="H4408" s="4" t="s">
        <v>14042</v>
      </c>
      <c r="I4408" s="4" t="s">
        <v>13972</v>
      </c>
      <c r="J4408" s="4" t="s">
        <v>14000</v>
      </c>
      <c r="K4408" s="4" t="s">
        <v>14043</v>
      </c>
      <c r="L4408" s="5">
        <v>71500</v>
      </c>
    </row>
    <row r="4409" spans="1:12" x14ac:dyDescent="0.25">
      <c r="A4409" s="3" t="s">
        <v>13772</v>
      </c>
      <c r="B4409" s="4" t="s">
        <v>13773</v>
      </c>
      <c r="C4409" s="4" t="s">
        <v>14</v>
      </c>
      <c r="D4409" s="4" t="s">
        <v>15</v>
      </c>
      <c r="E4409" s="5" t="str">
        <f>"9170516"</f>
        <v>9170516</v>
      </c>
      <c r="F4409" s="3" t="s">
        <v>14044</v>
      </c>
      <c r="G4409" s="5">
        <v>2810236861</v>
      </c>
      <c r="H4409" s="4" t="s">
        <v>14045</v>
      </c>
      <c r="I4409" s="4" t="s">
        <v>3193</v>
      </c>
      <c r="J4409" s="4" t="s">
        <v>13779</v>
      </c>
      <c r="K4409" s="4" t="s">
        <v>14046</v>
      </c>
      <c r="L4409" s="5">
        <v>71306</v>
      </c>
    </row>
    <row r="4410" spans="1:12" x14ac:dyDescent="0.25">
      <c r="A4410" s="3" t="s">
        <v>13772</v>
      </c>
      <c r="B4410" s="4" t="s">
        <v>13773</v>
      </c>
      <c r="C4410" s="4" t="s">
        <v>14</v>
      </c>
      <c r="D4410" s="4" t="s">
        <v>15</v>
      </c>
      <c r="E4410" s="5" t="str">
        <f>"9170270"</f>
        <v>9170270</v>
      </c>
      <c r="F4410" s="3" t="s">
        <v>14047</v>
      </c>
      <c r="G4410" s="5">
        <v>2892031245</v>
      </c>
      <c r="H4410" s="4" t="s">
        <v>14048</v>
      </c>
      <c r="I4410" s="4" t="s">
        <v>14049</v>
      </c>
      <c r="J4410" s="4" t="s">
        <v>14050</v>
      </c>
      <c r="K4410" s="4" t="s">
        <v>14050</v>
      </c>
      <c r="L4410" s="5">
        <v>70012</v>
      </c>
    </row>
    <row r="4411" spans="1:12" x14ac:dyDescent="0.25">
      <c r="A4411" s="3" t="s">
        <v>13772</v>
      </c>
      <c r="B4411" s="4" t="s">
        <v>13773</v>
      </c>
      <c r="C4411" s="4" t="s">
        <v>14</v>
      </c>
      <c r="D4411" s="4" t="s">
        <v>15</v>
      </c>
      <c r="E4411" s="5" t="str">
        <f>"9170197"</f>
        <v>9170197</v>
      </c>
      <c r="F4411" s="3" t="s">
        <v>14051</v>
      </c>
      <c r="G4411" s="5">
        <v>2810232577</v>
      </c>
      <c r="H4411" s="4" t="s">
        <v>14052</v>
      </c>
      <c r="I4411" s="4" t="s">
        <v>3193</v>
      </c>
      <c r="J4411" s="4" t="s">
        <v>13779</v>
      </c>
      <c r="K4411" s="4" t="s">
        <v>14053</v>
      </c>
      <c r="L4411" s="5">
        <v>71409</v>
      </c>
    </row>
    <row r="4412" spans="1:12" x14ac:dyDescent="0.25">
      <c r="A4412" s="3" t="s">
        <v>13772</v>
      </c>
      <c r="B4412" s="4" t="s">
        <v>13773</v>
      </c>
      <c r="C4412" s="4" t="s">
        <v>14</v>
      </c>
      <c r="D4412" s="4" t="s">
        <v>830</v>
      </c>
      <c r="E4412" s="5" t="str">
        <f>"9170114"</f>
        <v>9170114</v>
      </c>
      <c r="F4412" s="3" t="s">
        <v>14054</v>
      </c>
      <c r="G4412" s="5">
        <v>2810241054</v>
      </c>
      <c r="H4412" s="4" t="s">
        <v>14055</v>
      </c>
      <c r="I4412" s="4" t="s">
        <v>3193</v>
      </c>
      <c r="J4412" s="4" t="s">
        <v>13779</v>
      </c>
      <c r="K4412" s="4" t="s">
        <v>14056</v>
      </c>
      <c r="L4412" s="5">
        <v>71201</v>
      </c>
    </row>
    <row r="4413" spans="1:12" x14ac:dyDescent="0.25">
      <c r="A4413" s="3" t="s">
        <v>13772</v>
      </c>
      <c r="B4413" s="4" t="s">
        <v>13773</v>
      </c>
      <c r="C4413" s="4" t="s">
        <v>14</v>
      </c>
      <c r="D4413" s="4" t="s">
        <v>15</v>
      </c>
      <c r="E4413" s="5" t="str">
        <f>"9170009"</f>
        <v>9170009</v>
      </c>
      <c r="F4413" s="3" t="s">
        <v>14057</v>
      </c>
      <c r="G4413" s="5">
        <v>2810861587</v>
      </c>
      <c r="H4413" s="4" t="s">
        <v>14058</v>
      </c>
      <c r="I4413" s="4" t="s">
        <v>3193</v>
      </c>
      <c r="J4413" s="4" t="s">
        <v>14059</v>
      </c>
      <c r="K4413" s="4" t="s">
        <v>14060</v>
      </c>
      <c r="L4413" s="5">
        <v>70013</v>
      </c>
    </row>
    <row r="4414" spans="1:12" x14ac:dyDescent="0.25">
      <c r="A4414" s="3" t="s">
        <v>13772</v>
      </c>
      <c r="B4414" s="4" t="s">
        <v>13773</v>
      </c>
      <c r="C4414" s="4" t="s">
        <v>14</v>
      </c>
      <c r="D4414" s="4" t="s">
        <v>15</v>
      </c>
      <c r="E4414" s="5" t="str">
        <f>"9170520"</f>
        <v>9170520</v>
      </c>
      <c r="F4414" s="3" t="s">
        <v>14061</v>
      </c>
      <c r="G4414" s="5">
        <v>2810281317</v>
      </c>
      <c r="H4414" s="4" t="s">
        <v>14062</v>
      </c>
      <c r="I4414" s="4" t="s">
        <v>3193</v>
      </c>
      <c r="J4414" s="4" t="s">
        <v>14063</v>
      </c>
      <c r="K4414" s="4" t="s">
        <v>13902</v>
      </c>
      <c r="L4414" s="5">
        <v>71601</v>
      </c>
    </row>
    <row r="4415" spans="1:12" x14ac:dyDescent="0.25">
      <c r="A4415" s="3" t="s">
        <v>13772</v>
      </c>
      <c r="B4415" s="4" t="s">
        <v>13773</v>
      </c>
      <c r="C4415" s="4" t="s">
        <v>25</v>
      </c>
      <c r="D4415" s="4" t="s">
        <v>26</v>
      </c>
      <c r="E4415" s="5" t="str">
        <f>"9170053"</f>
        <v>9170053</v>
      </c>
      <c r="F4415" s="3" t="s">
        <v>14064</v>
      </c>
      <c r="G4415" s="5">
        <v>2810261825</v>
      </c>
      <c r="H4415" s="4" t="s">
        <v>14065</v>
      </c>
      <c r="I4415" s="4" t="s">
        <v>3193</v>
      </c>
      <c r="J4415" s="4" t="s">
        <v>13779</v>
      </c>
      <c r="K4415" s="4" t="s">
        <v>14066</v>
      </c>
      <c r="L4415" s="5">
        <v>71304</v>
      </c>
    </row>
    <row r="4416" spans="1:12" x14ac:dyDescent="0.25">
      <c r="A4416" s="3" t="s">
        <v>13772</v>
      </c>
      <c r="B4416" s="4" t="s">
        <v>13773</v>
      </c>
      <c r="C4416" s="4" t="s">
        <v>14</v>
      </c>
      <c r="D4416" s="4" t="s">
        <v>15</v>
      </c>
      <c r="E4416" s="5" t="str">
        <f>"9521014"</f>
        <v>9521014</v>
      </c>
      <c r="F4416" s="3" t="s">
        <v>14067</v>
      </c>
      <c r="G4416" s="5">
        <v>2897029611</v>
      </c>
      <c r="H4416" s="4" t="s">
        <v>14068</v>
      </c>
      <c r="I4416" s="4" t="s">
        <v>13794</v>
      </c>
      <c r="J4416" s="4" t="s">
        <v>14069</v>
      </c>
      <c r="K4416" s="4" t="s">
        <v>14070</v>
      </c>
      <c r="L4416" s="5">
        <v>70007</v>
      </c>
    </row>
    <row r="4417" spans="1:12" x14ac:dyDescent="0.25">
      <c r="A4417" s="3" t="s">
        <v>13772</v>
      </c>
      <c r="B4417" s="4" t="s">
        <v>13773</v>
      </c>
      <c r="C4417" s="4" t="s">
        <v>14</v>
      </c>
      <c r="D4417" s="4" t="s">
        <v>15</v>
      </c>
      <c r="E4417" s="5" t="str">
        <f>"9170196"</f>
        <v>9170196</v>
      </c>
      <c r="F4417" s="3" t="s">
        <v>14071</v>
      </c>
      <c r="G4417" s="5">
        <v>2810283356</v>
      </c>
      <c r="H4417" s="4" t="s">
        <v>14072</v>
      </c>
      <c r="I4417" s="4" t="s">
        <v>3193</v>
      </c>
      <c r="J4417" s="4" t="s">
        <v>13779</v>
      </c>
      <c r="K4417" s="4" t="s">
        <v>14073</v>
      </c>
      <c r="L4417" s="5">
        <v>71306</v>
      </c>
    </row>
    <row r="4418" spans="1:12" x14ac:dyDescent="0.25">
      <c r="A4418" s="3" t="s">
        <v>13772</v>
      </c>
      <c r="B4418" s="4" t="s">
        <v>13773</v>
      </c>
      <c r="C4418" s="4" t="s">
        <v>25</v>
      </c>
      <c r="D4418" s="4" t="s">
        <v>26</v>
      </c>
      <c r="E4418" s="5" t="str">
        <f>"9170188"</f>
        <v>9170188</v>
      </c>
      <c r="F4418" s="3" t="s">
        <v>14074</v>
      </c>
      <c r="G4418" s="5">
        <v>2810212635</v>
      </c>
      <c r="H4418" s="4" t="s">
        <v>14075</v>
      </c>
      <c r="I4418" s="4" t="s">
        <v>3193</v>
      </c>
      <c r="J4418" s="4" t="s">
        <v>3193</v>
      </c>
      <c r="K4418" s="4" t="s">
        <v>14076</v>
      </c>
      <c r="L4418" s="5">
        <v>71409</v>
      </c>
    </row>
    <row r="4419" spans="1:12" x14ac:dyDescent="0.25">
      <c r="A4419" s="3" t="s">
        <v>13772</v>
      </c>
      <c r="B4419" s="4" t="s">
        <v>13773</v>
      </c>
      <c r="C4419" s="4" t="s">
        <v>25</v>
      </c>
      <c r="D4419" s="4" t="s">
        <v>26</v>
      </c>
      <c r="E4419" s="5" t="str">
        <f>"9170052"</f>
        <v>9170052</v>
      </c>
      <c r="F4419" s="3" t="s">
        <v>14077</v>
      </c>
      <c r="G4419" s="5">
        <v>2810257486</v>
      </c>
      <c r="H4419" s="4" t="s">
        <v>14078</v>
      </c>
      <c r="I4419" s="4" t="s">
        <v>3193</v>
      </c>
      <c r="J4419" s="4" t="s">
        <v>3193</v>
      </c>
      <c r="K4419" s="4" t="s">
        <v>13928</v>
      </c>
      <c r="L4419" s="5">
        <v>71305</v>
      </c>
    </row>
    <row r="4420" spans="1:12" x14ac:dyDescent="0.25">
      <c r="A4420" s="3" t="s">
        <v>13772</v>
      </c>
      <c r="B4420" s="4" t="s">
        <v>13773</v>
      </c>
      <c r="C4420" s="4" t="s">
        <v>25</v>
      </c>
      <c r="D4420" s="4" t="s">
        <v>26</v>
      </c>
      <c r="E4420" s="5" t="str">
        <f>"9170397"</f>
        <v>9170397</v>
      </c>
      <c r="F4420" s="3" t="s">
        <v>14079</v>
      </c>
      <c r="G4420" s="5">
        <v>2892022520</v>
      </c>
      <c r="H4420" s="4" t="s">
        <v>14080</v>
      </c>
      <c r="I4420" s="4" t="s">
        <v>13931</v>
      </c>
      <c r="J4420" s="4" t="s">
        <v>14081</v>
      </c>
      <c r="K4420" s="4" t="s">
        <v>14082</v>
      </c>
      <c r="L4420" s="5">
        <v>70400</v>
      </c>
    </row>
    <row r="4421" spans="1:12" x14ac:dyDescent="0.25">
      <c r="A4421" s="3" t="s">
        <v>13772</v>
      </c>
      <c r="B4421" s="4" t="s">
        <v>13773</v>
      </c>
      <c r="C4421" s="4" t="s">
        <v>14</v>
      </c>
      <c r="D4421" s="4" t="s">
        <v>15</v>
      </c>
      <c r="E4421" s="5" t="str">
        <f>"9170034"</f>
        <v>9170034</v>
      </c>
      <c r="F4421" s="3" t="s">
        <v>14083</v>
      </c>
      <c r="G4421" s="5">
        <v>2810841217</v>
      </c>
      <c r="H4421" s="4" t="s">
        <v>14084</v>
      </c>
      <c r="I4421" s="4" t="s">
        <v>13972</v>
      </c>
      <c r="J4421" s="4" t="s">
        <v>14085</v>
      </c>
      <c r="K4421" s="4" t="s">
        <v>14086</v>
      </c>
      <c r="L4421" s="5">
        <v>71500</v>
      </c>
    </row>
    <row r="4422" spans="1:12" x14ac:dyDescent="0.25">
      <c r="A4422" s="3" t="s">
        <v>13772</v>
      </c>
      <c r="B4422" s="4" t="s">
        <v>13773</v>
      </c>
      <c r="C4422" s="4" t="s">
        <v>14</v>
      </c>
      <c r="D4422" s="4" t="s">
        <v>15</v>
      </c>
      <c r="E4422" s="5" t="str">
        <f>"9170043"</f>
        <v>9170043</v>
      </c>
      <c r="F4422" s="3" t="s">
        <v>14087</v>
      </c>
      <c r="G4422" s="5">
        <v>2894022075</v>
      </c>
      <c r="H4422" s="4" t="s">
        <v>14088</v>
      </c>
      <c r="I4422" s="4" t="s">
        <v>14049</v>
      </c>
      <c r="J4422" s="4" t="s">
        <v>12728</v>
      </c>
      <c r="K4422" s="4" t="s">
        <v>12728</v>
      </c>
      <c r="L4422" s="5">
        <v>70003</v>
      </c>
    </row>
    <row r="4423" spans="1:12" x14ac:dyDescent="0.25">
      <c r="A4423" s="3" t="s">
        <v>13772</v>
      </c>
      <c r="B4423" s="4" t="s">
        <v>13773</v>
      </c>
      <c r="C4423" s="4" t="s">
        <v>14</v>
      </c>
      <c r="D4423" s="4" t="s">
        <v>15</v>
      </c>
      <c r="E4423" s="5" t="str">
        <f>"9170113"</f>
        <v>9170113</v>
      </c>
      <c r="F4423" s="3" t="s">
        <v>14089</v>
      </c>
      <c r="G4423" s="5">
        <v>2810226174</v>
      </c>
      <c r="H4423" s="4" t="s">
        <v>14090</v>
      </c>
      <c r="I4423" s="4" t="s">
        <v>3193</v>
      </c>
      <c r="J4423" s="4" t="s">
        <v>3727</v>
      </c>
      <c r="K4423" s="4" t="s">
        <v>14091</v>
      </c>
      <c r="L4423" s="5">
        <v>71202</v>
      </c>
    </row>
    <row r="4424" spans="1:12" x14ac:dyDescent="0.25">
      <c r="A4424" s="3" t="s">
        <v>13772</v>
      </c>
      <c r="B4424" s="4" t="s">
        <v>13773</v>
      </c>
      <c r="C4424" s="4" t="s">
        <v>14</v>
      </c>
      <c r="D4424" s="4" t="s">
        <v>15</v>
      </c>
      <c r="E4424" s="5" t="str">
        <f>"9170194"</f>
        <v>9170194</v>
      </c>
      <c r="F4424" s="3" t="s">
        <v>14092</v>
      </c>
      <c r="G4424" s="5">
        <v>2810239611</v>
      </c>
      <c r="H4424" s="4" t="s">
        <v>14093</v>
      </c>
      <c r="I4424" s="4" t="s">
        <v>3193</v>
      </c>
      <c r="J4424" s="4" t="s">
        <v>13779</v>
      </c>
      <c r="K4424" s="4" t="s">
        <v>14094</v>
      </c>
      <c r="L4424" s="5">
        <v>71307</v>
      </c>
    </row>
    <row r="4425" spans="1:12" x14ac:dyDescent="0.25">
      <c r="A4425" s="3" t="s">
        <v>13772</v>
      </c>
      <c r="B4425" s="4" t="s">
        <v>13773</v>
      </c>
      <c r="C4425" s="4" t="s">
        <v>25</v>
      </c>
      <c r="D4425" s="4" t="s">
        <v>26</v>
      </c>
      <c r="E4425" s="5" t="str">
        <f>"9170410"</f>
        <v>9170410</v>
      </c>
      <c r="F4425" s="3" t="s">
        <v>14095</v>
      </c>
      <c r="G4425" s="5">
        <v>2810251805</v>
      </c>
      <c r="H4425" s="4" t="s">
        <v>14096</v>
      </c>
      <c r="I4425" s="4" t="s">
        <v>3193</v>
      </c>
      <c r="J4425" s="4" t="s">
        <v>13779</v>
      </c>
      <c r="K4425" s="4" t="s">
        <v>14097</v>
      </c>
      <c r="L4425" s="5">
        <v>71304</v>
      </c>
    </row>
    <row r="4426" spans="1:12" x14ac:dyDescent="0.25">
      <c r="A4426" s="3" t="s">
        <v>13772</v>
      </c>
      <c r="B4426" s="4" t="s">
        <v>13773</v>
      </c>
      <c r="C4426" s="4" t="s">
        <v>25</v>
      </c>
      <c r="D4426" s="4" t="s">
        <v>26</v>
      </c>
      <c r="E4426" s="5" t="str">
        <f>"9170506"</f>
        <v>9170506</v>
      </c>
      <c r="F4426" s="3" t="s">
        <v>14098</v>
      </c>
      <c r="G4426" s="5">
        <v>2810312448</v>
      </c>
      <c r="H4426" s="4" t="s">
        <v>14099</v>
      </c>
      <c r="I4426" s="4" t="s">
        <v>3193</v>
      </c>
      <c r="J4426" s="4" t="s">
        <v>3193</v>
      </c>
      <c r="K4426" s="4" t="s">
        <v>13832</v>
      </c>
      <c r="L4426" s="5">
        <v>71304</v>
      </c>
    </row>
    <row r="4427" spans="1:12" x14ac:dyDescent="0.25">
      <c r="A4427" s="3" t="s">
        <v>13772</v>
      </c>
      <c r="B4427" s="4" t="s">
        <v>13773</v>
      </c>
      <c r="C4427" s="4" t="s">
        <v>25</v>
      </c>
      <c r="D4427" s="4" t="s">
        <v>26</v>
      </c>
      <c r="E4427" s="5" t="str">
        <f>"9170026"</f>
        <v>9170026</v>
      </c>
      <c r="F4427" s="3" t="s">
        <v>14100</v>
      </c>
      <c r="G4427" s="5">
        <v>2813022620</v>
      </c>
      <c r="H4427" s="4" t="s">
        <v>14101</v>
      </c>
      <c r="I4427" s="4" t="s">
        <v>13972</v>
      </c>
      <c r="J4427" s="4" t="s">
        <v>14102</v>
      </c>
      <c r="K4427" s="4" t="s">
        <v>14103</v>
      </c>
      <c r="L4427" s="5">
        <v>70001</v>
      </c>
    </row>
    <row r="4428" spans="1:12" x14ac:dyDescent="0.25">
      <c r="A4428" s="3" t="s">
        <v>13772</v>
      </c>
      <c r="B4428" s="4" t="s">
        <v>13773</v>
      </c>
      <c r="C4428" s="4" t="s">
        <v>14</v>
      </c>
      <c r="D4428" s="4" t="s">
        <v>15</v>
      </c>
      <c r="E4428" s="5" t="str">
        <f>"9170017"</f>
        <v>9170017</v>
      </c>
      <c r="F4428" s="3" t="s">
        <v>14104</v>
      </c>
      <c r="G4428" s="5">
        <v>2810250746</v>
      </c>
      <c r="H4428" s="4" t="s">
        <v>14105</v>
      </c>
      <c r="I4428" s="4" t="s">
        <v>13972</v>
      </c>
      <c r="J4428" s="4" t="s">
        <v>2485</v>
      </c>
      <c r="K4428" s="4" t="s">
        <v>14106</v>
      </c>
      <c r="L4428" s="5">
        <v>71414</v>
      </c>
    </row>
    <row r="4429" spans="1:12" x14ac:dyDescent="0.25">
      <c r="A4429" s="3" t="s">
        <v>13772</v>
      </c>
      <c r="B4429" s="4" t="s">
        <v>13773</v>
      </c>
      <c r="C4429" s="4" t="s">
        <v>14</v>
      </c>
      <c r="D4429" s="4" t="s">
        <v>15</v>
      </c>
      <c r="E4429" s="5" t="str">
        <f>"9170055"</f>
        <v>9170055</v>
      </c>
      <c r="F4429" s="3" t="s">
        <v>14107</v>
      </c>
      <c r="G4429" s="5">
        <v>2810255097</v>
      </c>
      <c r="H4429" s="4" t="s">
        <v>14108</v>
      </c>
      <c r="I4429" s="4" t="s">
        <v>3193</v>
      </c>
      <c r="J4429" s="4" t="s">
        <v>13779</v>
      </c>
      <c r="K4429" s="4" t="s">
        <v>14109</v>
      </c>
      <c r="L4429" s="5">
        <v>71303</v>
      </c>
    </row>
    <row r="4430" spans="1:12" x14ac:dyDescent="0.25">
      <c r="A4430" s="3" t="s">
        <v>13772</v>
      </c>
      <c r="B4430" s="4" t="s">
        <v>13773</v>
      </c>
      <c r="C4430" s="4" t="s">
        <v>14</v>
      </c>
      <c r="D4430" s="4" t="s">
        <v>15</v>
      </c>
      <c r="E4430" s="5" t="str">
        <f>"9170028"</f>
        <v>9170028</v>
      </c>
      <c r="F4430" s="3" t="s">
        <v>14110</v>
      </c>
      <c r="G4430" s="5">
        <v>2810711204</v>
      </c>
      <c r="H4430" s="4" t="s">
        <v>14111</v>
      </c>
      <c r="I4430" s="4" t="s">
        <v>13972</v>
      </c>
      <c r="J4430" s="4" t="s">
        <v>14103</v>
      </c>
      <c r="K4430" s="4" t="s">
        <v>14103</v>
      </c>
      <c r="L4430" s="5">
        <v>70001</v>
      </c>
    </row>
    <row r="4431" spans="1:12" x14ac:dyDescent="0.25">
      <c r="A4431" s="3" t="s">
        <v>13772</v>
      </c>
      <c r="B4431" s="4" t="s">
        <v>13773</v>
      </c>
      <c r="C4431" s="4" t="s">
        <v>14</v>
      </c>
      <c r="D4431" s="4" t="s">
        <v>15</v>
      </c>
      <c r="E4431" s="5" t="str">
        <f>"9170250"</f>
        <v>9170250</v>
      </c>
      <c r="F4431" s="3" t="s">
        <v>14112</v>
      </c>
      <c r="G4431" s="5">
        <v>2897022005</v>
      </c>
      <c r="H4431" s="4" t="s">
        <v>14113</v>
      </c>
      <c r="I4431" s="4" t="s">
        <v>13794</v>
      </c>
      <c r="J4431" s="4" t="s">
        <v>14114</v>
      </c>
      <c r="K4431" s="4" t="s">
        <v>14115</v>
      </c>
      <c r="L4431" s="5">
        <v>70014</v>
      </c>
    </row>
    <row r="4432" spans="1:12" x14ac:dyDescent="0.25">
      <c r="A4432" s="3" t="s">
        <v>13772</v>
      </c>
      <c r="B4432" s="4" t="s">
        <v>13773</v>
      </c>
      <c r="C4432" s="4" t="s">
        <v>25</v>
      </c>
      <c r="D4432" s="4" t="s">
        <v>26</v>
      </c>
      <c r="E4432" s="5" t="str">
        <f>"9170583"</f>
        <v>9170583</v>
      </c>
      <c r="F4432" s="3" t="s">
        <v>14116</v>
      </c>
      <c r="G4432" s="5">
        <v>2810261765</v>
      </c>
      <c r="H4432" s="4" t="s">
        <v>14117</v>
      </c>
      <c r="I4432" s="4" t="s">
        <v>3193</v>
      </c>
      <c r="J4432" s="4" t="s">
        <v>14118</v>
      </c>
      <c r="K4432" s="4" t="s">
        <v>14119</v>
      </c>
      <c r="L4432" s="5">
        <v>71304</v>
      </c>
    </row>
    <row r="4433" spans="1:12" x14ac:dyDescent="0.25">
      <c r="A4433" s="3" t="s">
        <v>13772</v>
      </c>
      <c r="B4433" s="4" t="s">
        <v>13773</v>
      </c>
      <c r="C4433" s="4" t="s">
        <v>25</v>
      </c>
      <c r="D4433" s="4" t="s">
        <v>26</v>
      </c>
      <c r="E4433" s="5" t="str">
        <f>"9170040"</f>
        <v>9170040</v>
      </c>
      <c r="F4433" s="3" t="s">
        <v>14120</v>
      </c>
      <c r="G4433" s="5">
        <v>2894023512</v>
      </c>
      <c r="H4433" s="4" t="s">
        <v>14121</v>
      </c>
      <c r="I4433" s="4" t="s">
        <v>14049</v>
      </c>
      <c r="J4433" s="4" t="s">
        <v>3193</v>
      </c>
      <c r="K4433" s="4" t="s">
        <v>3920</v>
      </c>
      <c r="L4433" s="5">
        <v>70003</v>
      </c>
    </row>
    <row r="4434" spans="1:12" x14ac:dyDescent="0.25">
      <c r="A4434" s="3" t="s">
        <v>13772</v>
      </c>
      <c r="B4434" s="4" t="s">
        <v>13773</v>
      </c>
      <c r="C4434" s="4" t="s">
        <v>14</v>
      </c>
      <c r="D4434" s="4" t="s">
        <v>15</v>
      </c>
      <c r="E4434" s="5" t="str">
        <f>"9170427"</f>
        <v>9170427</v>
      </c>
      <c r="F4434" s="3" t="s">
        <v>14122</v>
      </c>
      <c r="G4434" s="5">
        <v>2810220998</v>
      </c>
      <c r="H4434" s="4" t="s">
        <v>14123</v>
      </c>
      <c r="I4434" s="4" t="s">
        <v>3193</v>
      </c>
      <c r="J4434" s="4" t="s">
        <v>14063</v>
      </c>
      <c r="K4434" s="4" t="s">
        <v>14124</v>
      </c>
      <c r="L4434" s="5">
        <v>71601</v>
      </c>
    </row>
    <row r="4435" spans="1:12" x14ac:dyDescent="0.25">
      <c r="A4435" s="3" t="s">
        <v>13772</v>
      </c>
      <c r="B4435" s="4" t="s">
        <v>13773</v>
      </c>
      <c r="C4435" s="4" t="s">
        <v>14</v>
      </c>
      <c r="D4435" s="4" t="s">
        <v>15</v>
      </c>
      <c r="E4435" s="5" t="str">
        <f>"9170262"</f>
        <v>9170262</v>
      </c>
      <c r="F4435" s="3" t="s">
        <v>14125</v>
      </c>
      <c r="G4435" s="5">
        <v>2810245912</v>
      </c>
      <c r="H4435" s="4" t="s">
        <v>14126</v>
      </c>
      <c r="I4435" s="4" t="s">
        <v>3193</v>
      </c>
      <c r="J4435" s="4" t="s">
        <v>13911</v>
      </c>
      <c r="K4435" s="4" t="s">
        <v>13902</v>
      </c>
      <c r="L4435" s="5">
        <v>71601</v>
      </c>
    </row>
    <row r="4436" spans="1:12" x14ac:dyDescent="0.25">
      <c r="A4436" s="3" t="s">
        <v>13772</v>
      </c>
      <c r="B4436" s="4" t="s">
        <v>13773</v>
      </c>
      <c r="C4436" s="4" t="s">
        <v>14</v>
      </c>
      <c r="D4436" s="4" t="s">
        <v>15</v>
      </c>
      <c r="E4436" s="5" t="str">
        <f>"9170132"</f>
        <v>9170132</v>
      </c>
      <c r="F4436" s="3" t="s">
        <v>14127</v>
      </c>
      <c r="G4436" s="5">
        <v>2895022233</v>
      </c>
      <c r="H4436" s="4" t="s">
        <v>14128</v>
      </c>
      <c r="I4436" s="4" t="s">
        <v>14129</v>
      </c>
      <c r="J4436" s="4" t="s">
        <v>14130</v>
      </c>
      <c r="K4436" s="4" t="s">
        <v>14130</v>
      </c>
      <c r="L4436" s="5">
        <v>70004</v>
      </c>
    </row>
    <row r="4437" spans="1:12" x14ac:dyDescent="0.25">
      <c r="A4437" s="3" t="s">
        <v>13772</v>
      </c>
      <c r="B4437" s="4" t="s">
        <v>13773</v>
      </c>
      <c r="C4437" s="4" t="s">
        <v>14</v>
      </c>
      <c r="D4437" s="4" t="s">
        <v>15</v>
      </c>
      <c r="E4437" s="5" t="str">
        <f>"9170109"</f>
        <v>9170109</v>
      </c>
      <c r="F4437" s="3" t="s">
        <v>14131</v>
      </c>
      <c r="G4437" s="5">
        <v>2810212659</v>
      </c>
      <c r="H4437" s="4" t="s">
        <v>14132</v>
      </c>
      <c r="I4437" s="4" t="s">
        <v>3193</v>
      </c>
      <c r="J4437" s="4" t="s">
        <v>13779</v>
      </c>
      <c r="K4437" s="4" t="s">
        <v>14133</v>
      </c>
      <c r="L4437" s="5">
        <v>71306</v>
      </c>
    </row>
    <row r="4438" spans="1:12" x14ac:dyDescent="0.25">
      <c r="A4438" s="3" t="s">
        <v>13772</v>
      </c>
      <c r="B4438" s="4" t="s">
        <v>13773</v>
      </c>
      <c r="C4438" s="4" t="s">
        <v>14</v>
      </c>
      <c r="D4438" s="4" t="s">
        <v>15</v>
      </c>
      <c r="E4438" s="5" t="str">
        <f>"9170115"</f>
        <v>9170115</v>
      </c>
      <c r="F4438" s="3" t="s">
        <v>14134</v>
      </c>
      <c r="G4438" s="5">
        <v>2810231165</v>
      </c>
      <c r="H4438" s="4" t="s">
        <v>14135</v>
      </c>
      <c r="I4438" s="4" t="s">
        <v>3193</v>
      </c>
      <c r="J4438" s="4" t="s">
        <v>13779</v>
      </c>
      <c r="K4438" s="4" t="s">
        <v>14136</v>
      </c>
      <c r="L4438" s="5">
        <v>71305</v>
      </c>
    </row>
    <row r="4439" spans="1:12" x14ac:dyDescent="0.25">
      <c r="A4439" s="3" t="s">
        <v>13772</v>
      </c>
      <c r="B4439" s="4" t="s">
        <v>13773</v>
      </c>
      <c r="C4439" s="4" t="s">
        <v>14</v>
      </c>
      <c r="D4439" s="4" t="s">
        <v>15</v>
      </c>
      <c r="E4439" s="5" t="str">
        <f>"9170575"</f>
        <v>9170575</v>
      </c>
      <c r="F4439" s="3" t="s">
        <v>14137</v>
      </c>
      <c r="G4439" s="5">
        <v>2810260772</v>
      </c>
      <c r="H4439" s="4" t="s">
        <v>14138</v>
      </c>
      <c r="I4439" s="4" t="s">
        <v>3193</v>
      </c>
      <c r="J4439" s="4" t="s">
        <v>3727</v>
      </c>
      <c r="K4439" s="4" t="s">
        <v>13921</v>
      </c>
      <c r="L4439" s="5">
        <v>71500</v>
      </c>
    </row>
    <row r="4440" spans="1:12" x14ac:dyDescent="0.25">
      <c r="A4440" s="3" t="s">
        <v>13772</v>
      </c>
      <c r="B4440" s="4" t="s">
        <v>13773</v>
      </c>
      <c r="C4440" s="4" t="s">
        <v>14</v>
      </c>
      <c r="D4440" s="4" t="s">
        <v>15</v>
      </c>
      <c r="E4440" s="5" t="str">
        <f>"9170425"</f>
        <v>9170425</v>
      </c>
      <c r="F4440" s="3" t="s">
        <v>14139</v>
      </c>
      <c r="G4440" s="5">
        <v>2810250261</v>
      </c>
      <c r="H4440" s="4" t="s">
        <v>14140</v>
      </c>
      <c r="I4440" s="4" t="s">
        <v>3193</v>
      </c>
      <c r="J4440" s="4" t="s">
        <v>13779</v>
      </c>
      <c r="K4440" s="4" t="s">
        <v>14141</v>
      </c>
      <c r="L4440" s="5">
        <v>71305</v>
      </c>
    </row>
    <row r="4441" spans="1:12" x14ac:dyDescent="0.25">
      <c r="A4441" s="3" t="s">
        <v>13772</v>
      </c>
      <c r="B4441" s="4" t="s">
        <v>13773</v>
      </c>
      <c r="C4441" s="4" t="s">
        <v>14</v>
      </c>
      <c r="D4441" s="4" t="s">
        <v>15</v>
      </c>
      <c r="E4441" s="5" t="str">
        <f>"9170512"</f>
        <v>9170512</v>
      </c>
      <c r="F4441" s="3" t="s">
        <v>14142</v>
      </c>
      <c r="G4441" s="5">
        <v>2810253082</v>
      </c>
      <c r="H4441" s="4" t="s">
        <v>14143</v>
      </c>
      <c r="I4441" s="4" t="s">
        <v>3193</v>
      </c>
      <c r="J4441" s="4" t="s">
        <v>13779</v>
      </c>
      <c r="K4441" s="4" t="s">
        <v>14144</v>
      </c>
      <c r="L4441" s="5">
        <v>71305</v>
      </c>
    </row>
    <row r="4442" spans="1:12" x14ac:dyDescent="0.25">
      <c r="A4442" s="3" t="s">
        <v>13772</v>
      </c>
      <c r="B4442" s="4" t="s">
        <v>13773</v>
      </c>
      <c r="C4442" s="4" t="s">
        <v>14</v>
      </c>
      <c r="D4442" s="4" t="s">
        <v>15</v>
      </c>
      <c r="E4442" s="5" t="str">
        <f>"9170037"</f>
        <v>9170037</v>
      </c>
      <c r="F4442" s="3" t="s">
        <v>14145</v>
      </c>
      <c r="G4442" s="5">
        <v>2810831208</v>
      </c>
      <c r="H4442" s="4" t="s">
        <v>14146</v>
      </c>
      <c r="I4442" s="4" t="s">
        <v>13972</v>
      </c>
      <c r="J4442" s="4"/>
      <c r="K4442" s="4" t="s">
        <v>14147</v>
      </c>
      <c r="L4442" s="5">
        <v>71500</v>
      </c>
    </row>
    <row r="4443" spans="1:12" x14ac:dyDescent="0.25">
      <c r="A4443" s="3" t="s">
        <v>13772</v>
      </c>
      <c r="B4443" s="4" t="s">
        <v>13773</v>
      </c>
      <c r="C4443" s="4" t="s">
        <v>14</v>
      </c>
      <c r="D4443" s="4" t="s">
        <v>15</v>
      </c>
      <c r="E4443" s="5" t="str">
        <f>"9170515"</f>
        <v>9170515</v>
      </c>
      <c r="F4443" s="3" t="s">
        <v>14148</v>
      </c>
      <c r="G4443" s="5">
        <v>2810254821</v>
      </c>
      <c r="H4443" s="4" t="s">
        <v>14149</v>
      </c>
      <c r="I4443" s="4" t="s">
        <v>3193</v>
      </c>
      <c r="J4443" s="4" t="s">
        <v>13779</v>
      </c>
      <c r="K4443" s="4" t="s">
        <v>14150</v>
      </c>
      <c r="L4443" s="5">
        <v>71303</v>
      </c>
    </row>
    <row r="4444" spans="1:12" x14ac:dyDescent="0.25">
      <c r="A4444" s="3" t="s">
        <v>13772</v>
      </c>
      <c r="B4444" s="4" t="s">
        <v>13773</v>
      </c>
      <c r="C4444" s="4" t="s">
        <v>14</v>
      </c>
      <c r="D4444" s="4" t="s">
        <v>15</v>
      </c>
      <c r="E4444" s="5" t="str">
        <f>"9170059"</f>
        <v>9170059</v>
      </c>
      <c r="F4444" s="3" t="s">
        <v>14151</v>
      </c>
      <c r="G4444" s="5">
        <v>2810791244</v>
      </c>
      <c r="H4444" s="4" t="s">
        <v>14152</v>
      </c>
      <c r="I4444" s="4" t="s">
        <v>3193</v>
      </c>
      <c r="J4444" s="4" t="s">
        <v>14153</v>
      </c>
      <c r="K4444" s="4" t="s">
        <v>14154</v>
      </c>
      <c r="L4444" s="5">
        <v>70011</v>
      </c>
    </row>
    <row r="4445" spans="1:12" x14ac:dyDescent="0.25">
      <c r="A4445" s="3" t="s">
        <v>13772</v>
      </c>
      <c r="B4445" s="4" t="s">
        <v>13773</v>
      </c>
      <c r="C4445" s="4" t="s">
        <v>14</v>
      </c>
      <c r="D4445" s="4" t="s">
        <v>15</v>
      </c>
      <c r="E4445" s="5" t="str">
        <f>"9170144"</f>
        <v>9170144</v>
      </c>
      <c r="F4445" s="3" t="s">
        <v>14155</v>
      </c>
      <c r="G4445" s="5">
        <v>2891022244</v>
      </c>
      <c r="H4445" s="4" t="s">
        <v>14156</v>
      </c>
      <c r="I4445" s="4" t="s">
        <v>13943</v>
      </c>
      <c r="J4445" s="4" t="s">
        <v>13994</v>
      </c>
      <c r="K4445" s="4" t="s">
        <v>14157</v>
      </c>
      <c r="L4445" s="5">
        <v>70300</v>
      </c>
    </row>
    <row r="4446" spans="1:12" x14ac:dyDescent="0.25">
      <c r="A4446" s="3" t="s">
        <v>13772</v>
      </c>
      <c r="B4446" s="4" t="s">
        <v>13773</v>
      </c>
      <c r="C4446" s="4" t="s">
        <v>14</v>
      </c>
      <c r="D4446" s="4" t="s">
        <v>15</v>
      </c>
      <c r="E4446" s="5" t="str">
        <f>"9170244"</f>
        <v>9170244</v>
      </c>
      <c r="F4446" s="3" t="s">
        <v>14158</v>
      </c>
      <c r="G4446" s="5">
        <v>2897061213</v>
      </c>
      <c r="H4446" s="4" t="s">
        <v>14159</v>
      </c>
      <c r="I4446" s="4" t="s">
        <v>13794</v>
      </c>
      <c r="J4446" s="4" t="s">
        <v>13892</v>
      </c>
      <c r="K4446" s="4" t="s">
        <v>14160</v>
      </c>
      <c r="L4446" s="5">
        <v>70005</v>
      </c>
    </row>
    <row r="4447" spans="1:12" x14ac:dyDescent="0.25">
      <c r="A4447" s="3" t="s">
        <v>13772</v>
      </c>
      <c r="B4447" s="4" t="s">
        <v>13773</v>
      </c>
      <c r="C4447" s="4" t="s">
        <v>14</v>
      </c>
      <c r="D4447" s="4" t="s">
        <v>15</v>
      </c>
      <c r="E4447" s="5" t="str">
        <f>"9170263"</f>
        <v>9170263</v>
      </c>
      <c r="F4447" s="3" t="s">
        <v>14161</v>
      </c>
      <c r="G4447" s="5">
        <v>2810346939</v>
      </c>
      <c r="H4447" s="4" t="s">
        <v>14162</v>
      </c>
      <c r="I4447" s="4" t="s">
        <v>3193</v>
      </c>
      <c r="J4447" s="4" t="s">
        <v>13911</v>
      </c>
      <c r="K4447" s="4" t="s">
        <v>14163</v>
      </c>
      <c r="L4447" s="5">
        <v>71601</v>
      </c>
    </row>
    <row r="4448" spans="1:12" x14ac:dyDescent="0.25">
      <c r="A4448" s="3" t="s">
        <v>13772</v>
      </c>
      <c r="B4448" s="4" t="s">
        <v>13773</v>
      </c>
      <c r="C4448" s="4" t="s">
        <v>14</v>
      </c>
      <c r="D4448" s="4" t="s">
        <v>15</v>
      </c>
      <c r="E4448" s="5" t="str">
        <f>"9170428"</f>
        <v>9170428</v>
      </c>
      <c r="F4448" s="3" t="s">
        <v>14164</v>
      </c>
      <c r="G4448" s="5">
        <v>2810234768</v>
      </c>
      <c r="H4448" s="4" t="s">
        <v>14165</v>
      </c>
      <c r="I4448" s="4" t="s">
        <v>3193</v>
      </c>
      <c r="J4448" s="4" t="s">
        <v>13779</v>
      </c>
      <c r="K4448" s="4" t="s">
        <v>14166</v>
      </c>
      <c r="L4448" s="5">
        <v>71306</v>
      </c>
    </row>
    <row r="4449" spans="1:12" x14ac:dyDescent="0.25">
      <c r="A4449" s="3" t="s">
        <v>13772</v>
      </c>
      <c r="B4449" s="4" t="s">
        <v>13773</v>
      </c>
      <c r="C4449" s="4" t="s">
        <v>14</v>
      </c>
      <c r="D4449" s="4" t="s">
        <v>15</v>
      </c>
      <c r="E4449" s="5" t="str">
        <f>"9170561"</f>
        <v>9170561</v>
      </c>
      <c r="F4449" s="3" t="s">
        <v>14167</v>
      </c>
      <c r="G4449" s="5">
        <v>2891023609</v>
      </c>
      <c r="H4449" s="4" t="s">
        <v>14168</v>
      </c>
      <c r="I4449" s="4" t="s">
        <v>13943</v>
      </c>
      <c r="J4449" s="4" t="s">
        <v>13994</v>
      </c>
      <c r="K4449" s="4" t="s">
        <v>14169</v>
      </c>
      <c r="L4449" s="5">
        <v>70300</v>
      </c>
    </row>
    <row r="4450" spans="1:12" x14ac:dyDescent="0.25">
      <c r="A4450" s="3" t="s">
        <v>13772</v>
      </c>
      <c r="B4450" s="4" t="s">
        <v>13773</v>
      </c>
      <c r="C4450" s="4" t="s">
        <v>14</v>
      </c>
      <c r="D4450" s="4" t="s">
        <v>15</v>
      </c>
      <c r="E4450" s="5" t="str">
        <f>"9170039"</f>
        <v>9170039</v>
      </c>
      <c r="F4450" s="3" t="s">
        <v>14170</v>
      </c>
      <c r="G4450" s="5">
        <v>2894022231</v>
      </c>
      <c r="H4450" s="4" t="s">
        <v>14171</v>
      </c>
      <c r="I4450" s="4" t="s">
        <v>14049</v>
      </c>
      <c r="J4450" s="4" t="s">
        <v>3920</v>
      </c>
      <c r="K4450" s="4" t="s">
        <v>3920</v>
      </c>
      <c r="L4450" s="5">
        <v>70003</v>
      </c>
    </row>
    <row r="4451" spans="1:12" x14ac:dyDescent="0.25">
      <c r="A4451" s="3" t="s">
        <v>13772</v>
      </c>
      <c r="B4451" s="4" t="s">
        <v>13773</v>
      </c>
      <c r="C4451" s="4" t="s">
        <v>25</v>
      </c>
      <c r="D4451" s="4" t="s">
        <v>26</v>
      </c>
      <c r="E4451" s="5" t="str">
        <f>"9170106"</f>
        <v>9170106</v>
      </c>
      <c r="F4451" s="3" t="s">
        <v>14172</v>
      </c>
      <c r="G4451" s="5">
        <v>2810341815</v>
      </c>
      <c r="H4451" s="4" t="s">
        <v>14173</v>
      </c>
      <c r="I4451" s="4" t="s">
        <v>3193</v>
      </c>
      <c r="J4451" s="4" t="s">
        <v>3193</v>
      </c>
      <c r="K4451" s="4" t="s">
        <v>14174</v>
      </c>
      <c r="L4451" s="5">
        <v>71306</v>
      </c>
    </row>
    <row r="4452" spans="1:12" x14ac:dyDescent="0.25">
      <c r="A4452" s="3" t="s">
        <v>13772</v>
      </c>
      <c r="B4452" s="4" t="s">
        <v>13773</v>
      </c>
      <c r="C4452" s="4" t="s">
        <v>25</v>
      </c>
      <c r="D4452" s="4" t="s">
        <v>26</v>
      </c>
      <c r="E4452" s="5" t="str">
        <f>"9170318"</f>
        <v>9170318</v>
      </c>
      <c r="F4452" s="3" t="s">
        <v>14175</v>
      </c>
      <c r="G4452" s="5">
        <v>2893023231</v>
      </c>
      <c r="H4452" s="4" t="s">
        <v>14176</v>
      </c>
      <c r="I4452" s="4" t="s">
        <v>13789</v>
      </c>
      <c r="J4452" s="4" t="s">
        <v>7956</v>
      </c>
      <c r="K4452" s="4" t="s">
        <v>273</v>
      </c>
      <c r="L4452" s="5">
        <v>70010</v>
      </c>
    </row>
    <row r="4453" spans="1:12" x14ac:dyDescent="0.25">
      <c r="A4453" s="3" t="s">
        <v>13772</v>
      </c>
      <c r="B4453" s="4" t="s">
        <v>13773</v>
      </c>
      <c r="C4453" s="4" t="s">
        <v>14</v>
      </c>
      <c r="D4453" s="4" t="s">
        <v>15</v>
      </c>
      <c r="E4453" s="5" t="str">
        <f>"9170107"</f>
        <v>9170107</v>
      </c>
      <c r="F4453" s="3" t="s">
        <v>14177</v>
      </c>
      <c r="G4453" s="5">
        <v>2810282405</v>
      </c>
      <c r="H4453" s="4" t="s">
        <v>14178</v>
      </c>
      <c r="I4453" s="4" t="s">
        <v>3193</v>
      </c>
      <c r="J4453" s="4" t="s">
        <v>13779</v>
      </c>
      <c r="K4453" s="4" t="s">
        <v>14179</v>
      </c>
      <c r="L4453" s="5">
        <v>71201</v>
      </c>
    </row>
    <row r="4454" spans="1:12" x14ac:dyDescent="0.25">
      <c r="A4454" s="3" t="s">
        <v>13772</v>
      </c>
      <c r="B4454" s="4" t="s">
        <v>13773</v>
      </c>
      <c r="C4454" s="4" t="s">
        <v>14</v>
      </c>
      <c r="D4454" s="4" t="s">
        <v>15</v>
      </c>
      <c r="E4454" s="5" t="str">
        <f>"9170102"</f>
        <v>9170102</v>
      </c>
      <c r="F4454" s="3" t="s">
        <v>14180</v>
      </c>
      <c r="G4454" s="5">
        <v>2810283938</v>
      </c>
      <c r="H4454" s="4" t="s">
        <v>14181</v>
      </c>
      <c r="I4454" s="4" t="s">
        <v>3193</v>
      </c>
      <c r="J4454" s="4" t="s">
        <v>13779</v>
      </c>
      <c r="K4454" s="4" t="s">
        <v>14182</v>
      </c>
      <c r="L4454" s="5">
        <v>71306</v>
      </c>
    </row>
    <row r="4455" spans="1:12" x14ac:dyDescent="0.25">
      <c r="A4455" s="3" t="s">
        <v>13772</v>
      </c>
      <c r="B4455" s="4" t="s">
        <v>13773</v>
      </c>
      <c r="C4455" s="4" t="s">
        <v>14</v>
      </c>
      <c r="D4455" s="4" t="s">
        <v>15</v>
      </c>
      <c r="E4455" s="5" t="str">
        <f>"9170054"</f>
        <v>9170054</v>
      </c>
      <c r="F4455" s="3" t="s">
        <v>14183</v>
      </c>
      <c r="G4455" s="5">
        <v>2810254527</v>
      </c>
      <c r="H4455" s="4" t="s">
        <v>14184</v>
      </c>
      <c r="I4455" s="4" t="s">
        <v>3193</v>
      </c>
      <c r="J4455" s="4" t="s">
        <v>14022</v>
      </c>
      <c r="K4455" s="4" t="s">
        <v>14185</v>
      </c>
      <c r="L4455" s="5">
        <v>71304</v>
      </c>
    </row>
    <row r="4456" spans="1:12" x14ac:dyDescent="0.25">
      <c r="A4456" s="3" t="s">
        <v>13772</v>
      </c>
      <c r="B4456" s="4" t="s">
        <v>13773</v>
      </c>
      <c r="C4456" s="4" t="s">
        <v>14</v>
      </c>
      <c r="D4456" s="4" t="s">
        <v>15</v>
      </c>
      <c r="E4456" s="5" t="str">
        <f>"9170219"</f>
        <v>9170219</v>
      </c>
      <c r="F4456" s="3" t="s">
        <v>14186</v>
      </c>
      <c r="G4456" s="5">
        <v>2897041357</v>
      </c>
      <c r="H4456" s="4" t="s">
        <v>14187</v>
      </c>
      <c r="I4456" s="4" t="s">
        <v>13794</v>
      </c>
      <c r="J4456" s="4" t="s">
        <v>14188</v>
      </c>
      <c r="K4456" s="4" t="s">
        <v>14189</v>
      </c>
      <c r="L4456" s="5">
        <v>70014</v>
      </c>
    </row>
    <row r="4457" spans="1:12" x14ac:dyDescent="0.25">
      <c r="A4457" s="3" t="s">
        <v>13772</v>
      </c>
      <c r="B4457" s="4" t="s">
        <v>13773</v>
      </c>
      <c r="C4457" s="4" t="s">
        <v>14</v>
      </c>
      <c r="D4457" s="4" t="s">
        <v>15</v>
      </c>
      <c r="E4457" s="5" t="str">
        <f>"9170239"</f>
        <v>9170239</v>
      </c>
      <c r="F4457" s="3" t="s">
        <v>14190</v>
      </c>
      <c r="G4457" s="5">
        <v>2897022076</v>
      </c>
      <c r="H4457" s="4" t="s">
        <v>14191</v>
      </c>
      <c r="I4457" s="4" t="s">
        <v>13794</v>
      </c>
      <c r="J4457" s="4" t="s">
        <v>13879</v>
      </c>
      <c r="K4457" s="4" t="s">
        <v>14192</v>
      </c>
      <c r="L4457" s="5">
        <v>70014</v>
      </c>
    </row>
    <row r="4458" spans="1:12" x14ac:dyDescent="0.25">
      <c r="A4458" s="3" t="s">
        <v>13772</v>
      </c>
      <c r="B4458" s="4" t="s">
        <v>13773</v>
      </c>
      <c r="C4458" s="4" t="s">
        <v>25</v>
      </c>
      <c r="D4458" s="4" t="s">
        <v>26</v>
      </c>
      <c r="E4458" s="5" t="str">
        <f>"9170398"</f>
        <v>9170398</v>
      </c>
      <c r="F4458" s="3" t="s">
        <v>14193</v>
      </c>
      <c r="G4458" s="5">
        <v>2892053478</v>
      </c>
      <c r="H4458" s="4" t="s">
        <v>14194</v>
      </c>
      <c r="I4458" s="4" t="s">
        <v>13931</v>
      </c>
      <c r="J4458" s="4"/>
      <c r="K4458" s="4" t="s">
        <v>13933</v>
      </c>
      <c r="L4458" s="5">
        <v>70200</v>
      </c>
    </row>
    <row r="4459" spans="1:12" x14ac:dyDescent="0.25">
      <c r="A4459" s="3" t="s">
        <v>13772</v>
      </c>
      <c r="B4459" s="4" t="s">
        <v>13773</v>
      </c>
      <c r="C4459" s="4" t="s">
        <v>14</v>
      </c>
      <c r="D4459" s="4" t="s">
        <v>15</v>
      </c>
      <c r="E4459" s="5" t="str">
        <f>"9170242"</f>
        <v>9170242</v>
      </c>
      <c r="F4459" s="3" t="s">
        <v>14195</v>
      </c>
      <c r="G4459" s="5">
        <v>2897031254</v>
      </c>
      <c r="H4459" s="4" t="s">
        <v>14196</v>
      </c>
      <c r="I4459" s="4" t="s">
        <v>13794</v>
      </c>
      <c r="J4459" s="4" t="s">
        <v>14197</v>
      </c>
      <c r="K4459" s="4" t="s">
        <v>14070</v>
      </c>
      <c r="L4459" s="5">
        <v>70007</v>
      </c>
    </row>
    <row r="4460" spans="1:12" x14ac:dyDescent="0.25">
      <c r="A4460" s="3" t="s">
        <v>13772</v>
      </c>
      <c r="B4460" s="4" t="s">
        <v>13773</v>
      </c>
      <c r="C4460" s="4" t="s">
        <v>25</v>
      </c>
      <c r="D4460" s="4" t="s">
        <v>26</v>
      </c>
      <c r="E4460" s="5" t="str">
        <f>"9170545"</f>
        <v>9170545</v>
      </c>
      <c r="F4460" s="3" t="s">
        <v>14198</v>
      </c>
      <c r="G4460" s="5">
        <v>2892053479</v>
      </c>
      <c r="H4460" s="4" t="s">
        <v>14199</v>
      </c>
      <c r="I4460" s="4" t="s">
        <v>13931</v>
      </c>
      <c r="J4460" s="4" t="s">
        <v>14200</v>
      </c>
      <c r="K4460" s="4" t="s">
        <v>14201</v>
      </c>
      <c r="L4460" s="5">
        <v>70200</v>
      </c>
    </row>
    <row r="4461" spans="1:12" x14ac:dyDescent="0.25">
      <c r="A4461" s="3" t="s">
        <v>13772</v>
      </c>
      <c r="B4461" s="4" t="s">
        <v>13773</v>
      </c>
      <c r="C4461" s="4" t="s">
        <v>14</v>
      </c>
      <c r="D4461" s="4" t="s">
        <v>15</v>
      </c>
      <c r="E4461" s="5" t="str">
        <f>"9170343"</f>
        <v>9170343</v>
      </c>
      <c r="F4461" s="3" t="s">
        <v>14202</v>
      </c>
      <c r="G4461" s="5">
        <v>2810283970</v>
      </c>
      <c r="H4461" s="4" t="s">
        <v>14203</v>
      </c>
      <c r="I4461" s="4" t="s">
        <v>3193</v>
      </c>
      <c r="J4461" s="4" t="s">
        <v>13779</v>
      </c>
      <c r="K4461" s="4" t="s">
        <v>14204</v>
      </c>
      <c r="L4461" s="5">
        <v>71305</v>
      </c>
    </row>
    <row r="4462" spans="1:12" x14ac:dyDescent="0.25">
      <c r="A4462" s="3" t="s">
        <v>13772</v>
      </c>
      <c r="B4462" s="4" t="s">
        <v>13773</v>
      </c>
      <c r="C4462" s="4" t="s">
        <v>14</v>
      </c>
      <c r="D4462" s="4" t="s">
        <v>15</v>
      </c>
      <c r="E4462" s="5" t="str">
        <f>"9170228"</f>
        <v>9170228</v>
      </c>
      <c r="F4462" s="3" t="s">
        <v>14205</v>
      </c>
      <c r="G4462" s="5">
        <v>2891041210</v>
      </c>
      <c r="H4462" s="4" t="s">
        <v>14206</v>
      </c>
      <c r="I4462" s="4" t="s">
        <v>13943</v>
      </c>
      <c r="J4462" s="4" t="s">
        <v>14207</v>
      </c>
      <c r="K4462" s="4" t="s">
        <v>14208</v>
      </c>
      <c r="L4462" s="5">
        <v>70006</v>
      </c>
    </row>
    <row r="4463" spans="1:12" x14ac:dyDescent="0.25">
      <c r="A4463" s="3" t="s">
        <v>13772</v>
      </c>
      <c r="B4463" s="4" t="s">
        <v>13773</v>
      </c>
      <c r="C4463" s="4" t="s">
        <v>14</v>
      </c>
      <c r="D4463" s="4" t="s">
        <v>15</v>
      </c>
      <c r="E4463" s="5" t="str">
        <f>"9170097"</f>
        <v>9170097</v>
      </c>
      <c r="F4463" s="3" t="s">
        <v>14209</v>
      </c>
      <c r="G4463" s="5">
        <v>2810751807</v>
      </c>
      <c r="H4463" s="4" t="s">
        <v>14210</v>
      </c>
      <c r="I4463" s="4" t="s">
        <v>13789</v>
      </c>
      <c r="J4463" s="4" t="s">
        <v>14211</v>
      </c>
      <c r="K4463" s="4" t="s">
        <v>14212</v>
      </c>
      <c r="L4463" s="5">
        <v>70100</v>
      </c>
    </row>
    <row r="4464" spans="1:12" x14ac:dyDescent="0.25">
      <c r="A4464" s="3" t="s">
        <v>13772</v>
      </c>
      <c r="B4464" s="4" t="s">
        <v>13773</v>
      </c>
      <c r="C4464" s="4" t="s">
        <v>25</v>
      </c>
      <c r="D4464" s="4" t="s">
        <v>26</v>
      </c>
      <c r="E4464" s="5" t="str">
        <f>"9170399"</f>
        <v>9170399</v>
      </c>
      <c r="F4464" s="3" t="s">
        <v>14213</v>
      </c>
      <c r="G4464" s="5">
        <v>2892031806</v>
      </c>
      <c r="H4464" s="4" t="s">
        <v>14214</v>
      </c>
      <c r="I4464" s="4" t="s">
        <v>14049</v>
      </c>
      <c r="J4464" s="4" t="s">
        <v>14215</v>
      </c>
      <c r="K4464" s="4" t="s">
        <v>14216</v>
      </c>
      <c r="L4464" s="5">
        <v>70012</v>
      </c>
    </row>
    <row r="4465" spans="1:12" x14ac:dyDescent="0.25">
      <c r="A4465" s="3" t="s">
        <v>13772</v>
      </c>
      <c r="B4465" s="4" t="s">
        <v>13773</v>
      </c>
      <c r="C4465" s="4" t="s">
        <v>14</v>
      </c>
      <c r="D4465" s="4" t="s">
        <v>15</v>
      </c>
      <c r="E4465" s="5" t="str">
        <f>"9170057"</f>
        <v>9170057</v>
      </c>
      <c r="F4465" s="3" t="s">
        <v>14217</v>
      </c>
      <c r="G4465" s="5">
        <v>2810251505</v>
      </c>
      <c r="H4465" s="4" t="s">
        <v>14218</v>
      </c>
      <c r="I4465" s="4" t="s">
        <v>3193</v>
      </c>
      <c r="J4465" s="4" t="s">
        <v>13779</v>
      </c>
      <c r="K4465" s="4" t="s">
        <v>14219</v>
      </c>
      <c r="L4465" s="5">
        <v>71304</v>
      </c>
    </row>
    <row r="4466" spans="1:12" x14ac:dyDescent="0.25">
      <c r="A4466" s="3" t="s">
        <v>13772</v>
      </c>
      <c r="B4466" s="4" t="s">
        <v>13773</v>
      </c>
      <c r="C4466" s="4" t="s">
        <v>14</v>
      </c>
      <c r="D4466" s="4" t="s">
        <v>15</v>
      </c>
      <c r="E4466" s="5" t="str">
        <f>"9170549"</f>
        <v>9170549</v>
      </c>
      <c r="F4466" s="3" t="s">
        <v>14220</v>
      </c>
      <c r="G4466" s="5">
        <v>2810751800</v>
      </c>
      <c r="H4466" s="4" t="s">
        <v>14221</v>
      </c>
      <c r="I4466" s="4" t="s">
        <v>13789</v>
      </c>
      <c r="J4466" s="4" t="s">
        <v>13790</v>
      </c>
      <c r="K4466" s="4" t="s">
        <v>14222</v>
      </c>
      <c r="L4466" s="5">
        <v>70100</v>
      </c>
    </row>
    <row r="4467" spans="1:12" x14ac:dyDescent="0.25">
      <c r="A4467" s="3" t="s">
        <v>13772</v>
      </c>
      <c r="B4467" s="4" t="s">
        <v>13773</v>
      </c>
      <c r="C4467" s="4" t="s">
        <v>14</v>
      </c>
      <c r="D4467" s="4" t="s">
        <v>15</v>
      </c>
      <c r="E4467" s="5" t="str">
        <f>"9170532"</f>
        <v>9170532</v>
      </c>
      <c r="F4467" s="3" t="s">
        <v>14223</v>
      </c>
      <c r="G4467" s="5">
        <v>2810250330</v>
      </c>
      <c r="H4467" s="4" t="s">
        <v>14224</v>
      </c>
      <c r="I4467" s="4" t="s">
        <v>3193</v>
      </c>
      <c r="J4467" s="4" t="s">
        <v>13779</v>
      </c>
      <c r="K4467" s="4" t="s">
        <v>14225</v>
      </c>
      <c r="L4467" s="5">
        <v>71410</v>
      </c>
    </row>
    <row r="4468" spans="1:12" x14ac:dyDescent="0.25">
      <c r="A4468" s="3" t="s">
        <v>13772</v>
      </c>
      <c r="B4468" s="4" t="s">
        <v>13773</v>
      </c>
      <c r="C4468" s="4" t="s">
        <v>14</v>
      </c>
      <c r="D4468" s="4" t="s">
        <v>15</v>
      </c>
      <c r="E4468" s="5" t="str">
        <f>"9170257"</f>
        <v>9170257</v>
      </c>
      <c r="F4468" s="3" t="s">
        <v>14226</v>
      </c>
      <c r="G4468" s="5">
        <v>2810245513</v>
      </c>
      <c r="H4468" s="4" t="s">
        <v>14227</v>
      </c>
      <c r="I4468" s="4" t="s">
        <v>3193</v>
      </c>
      <c r="J4468" s="4" t="s">
        <v>13779</v>
      </c>
      <c r="K4468" s="4" t="s">
        <v>14228</v>
      </c>
      <c r="L4468" s="5">
        <v>71307</v>
      </c>
    </row>
    <row r="4469" spans="1:12" x14ac:dyDescent="0.25">
      <c r="A4469" s="3" t="s">
        <v>13772</v>
      </c>
      <c r="B4469" s="4" t="s">
        <v>13773</v>
      </c>
      <c r="C4469" s="4" t="s">
        <v>14</v>
      </c>
      <c r="D4469" s="4" t="s">
        <v>15</v>
      </c>
      <c r="E4469" s="5" t="str">
        <f>"9170018"</f>
        <v>9170018</v>
      </c>
      <c r="F4469" s="3" t="s">
        <v>14229</v>
      </c>
      <c r="G4469" s="5">
        <v>2810821217</v>
      </c>
      <c r="H4469" s="4" t="s">
        <v>14230</v>
      </c>
      <c r="I4469" s="4" t="s">
        <v>13972</v>
      </c>
      <c r="J4469" s="4" t="s">
        <v>13973</v>
      </c>
      <c r="K4469" s="4" t="s">
        <v>14231</v>
      </c>
      <c r="L4469" s="5">
        <v>71414</v>
      </c>
    </row>
    <row r="4470" spans="1:12" x14ac:dyDescent="0.25">
      <c r="A4470" s="3" t="s">
        <v>13772</v>
      </c>
      <c r="B4470" s="4" t="s">
        <v>13773</v>
      </c>
      <c r="C4470" s="4" t="s">
        <v>14</v>
      </c>
      <c r="D4470" s="4" t="s">
        <v>15</v>
      </c>
      <c r="E4470" s="5" t="str">
        <f>"9170259"</f>
        <v>9170259</v>
      </c>
      <c r="F4470" s="3" t="s">
        <v>14232</v>
      </c>
      <c r="G4470" s="5">
        <v>2810245297</v>
      </c>
      <c r="H4470" s="4" t="s">
        <v>14233</v>
      </c>
      <c r="I4470" s="4" t="s">
        <v>3193</v>
      </c>
      <c r="J4470" s="4" t="s">
        <v>13779</v>
      </c>
      <c r="K4470" s="4" t="s">
        <v>14234</v>
      </c>
      <c r="L4470" s="5">
        <v>71307</v>
      </c>
    </row>
    <row r="4471" spans="1:12" x14ac:dyDescent="0.25">
      <c r="A4471" s="3" t="s">
        <v>13772</v>
      </c>
      <c r="B4471" s="4" t="s">
        <v>13773</v>
      </c>
      <c r="C4471" s="4" t="s">
        <v>25</v>
      </c>
      <c r="D4471" s="4" t="s">
        <v>26</v>
      </c>
      <c r="E4471" s="5" t="str">
        <f>"9170553"</f>
        <v>9170553</v>
      </c>
      <c r="F4471" s="3" t="s">
        <v>14235</v>
      </c>
      <c r="G4471" s="5">
        <v>6944161375</v>
      </c>
      <c r="H4471" s="4" t="s">
        <v>14236</v>
      </c>
      <c r="I4471" s="4" t="s">
        <v>13931</v>
      </c>
      <c r="J4471" s="4" t="s">
        <v>13948</v>
      </c>
      <c r="K4471" s="4" t="s">
        <v>13948</v>
      </c>
      <c r="L4471" s="5">
        <v>70400</v>
      </c>
    </row>
    <row r="4472" spans="1:12" x14ac:dyDescent="0.25">
      <c r="A4472" s="3" t="s">
        <v>13772</v>
      </c>
      <c r="B4472" s="4" t="s">
        <v>13773</v>
      </c>
      <c r="C4472" s="4" t="s">
        <v>14</v>
      </c>
      <c r="D4472" s="4" t="s">
        <v>15</v>
      </c>
      <c r="E4472" s="5" t="str">
        <f>"9170339"</f>
        <v>9170339</v>
      </c>
      <c r="F4472" s="3" t="s">
        <v>14237</v>
      </c>
      <c r="G4472" s="5">
        <v>2892051391</v>
      </c>
      <c r="H4472" s="4" t="s">
        <v>14238</v>
      </c>
      <c r="I4472" s="4" t="s">
        <v>13931</v>
      </c>
      <c r="J4472" s="4" t="s">
        <v>14239</v>
      </c>
      <c r="K4472" s="4" t="s">
        <v>13932</v>
      </c>
      <c r="L4472" s="5">
        <v>70200</v>
      </c>
    </row>
    <row r="4473" spans="1:12" x14ac:dyDescent="0.25">
      <c r="A4473" s="3" t="s">
        <v>13772</v>
      </c>
      <c r="B4473" s="4" t="s">
        <v>13773</v>
      </c>
      <c r="C4473" s="4" t="s">
        <v>14</v>
      </c>
      <c r="D4473" s="4" t="s">
        <v>15</v>
      </c>
      <c r="E4473" s="5" t="str">
        <f>"9170519"</f>
        <v>9170519</v>
      </c>
      <c r="F4473" s="3" t="s">
        <v>14240</v>
      </c>
      <c r="G4473" s="5">
        <v>2810244075</v>
      </c>
      <c r="H4473" s="4" t="s">
        <v>14241</v>
      </c>
      <c r="I4473" s="4" t="s">
        <v>3193</v>
      </c>
      <c r="J4473" s="4" t="s">
        <v>13779</v>
      </c>
      <c r="K4473" s="4" t="s">
        <v>14228</v>
      </c>
      <c r="L4473" s="5">
        <v>71307</v>
      </c>
    </row>
    <row r="4474" spans="1:12" x14ac:dyDescent="0.25">
      <c r="A4474" s="3" t="s">
        <v>13772</v>
      </c>
      <c r="B4474" s="4" t="s">
        <v>13773</v>
      </c>
      <c r="C4474" s="4" t="s">
        <v>14</v>
      </c>
      <c r="D4474" s="4" t="s">
        <v>15</v>
      </c>
      <c r="E4474" s="5" t="str">
        <f>"9170091"</f>
        <v>9170091</v>
      </c>
      <c r="F4474" s="3" t="s">
        <v>14242</v>
      </c>
      <c r="G4474" s="5">
        <v>2810741381</v>
      </c>
      <c r="H4474" s="4" t="s">
        <v>14243</v>
      </c>
      <c r="I4474" s="4" t="s">
        <v>13789</v>
      </c>
      <c r="J4474" s="4" t="s">
        <v>14244</v>
      </c>
      <c r="K4474" s="4" t="s">
        <v>13870</v>
      </c>
      <c r="L4474" s="5">
        <v>70100</v>
      </c>
    </row>
    <row r="4475" spans="1:12" x14ac:dyDescent="0.25">
      <c r="A4475" s="3" t="s">
        <v>13772</v>
      </c>
      <c r="B4475" s="4" t="s">
        <v>13773</v>
      </c>
      <c r="C4475" s="4" t="s">
        <v>25</v>
      </c>
      <c r="D4475" s="4" t="s">
        <v>26</v>
      </c>
      <c r="E4475" s="5" t="str">
        <f>"9170145"</f>
        <v>9170145</v>
      </c>
      <c r="F4475" s="3" t="s">
        <v>14245</v>
      </c>
      <c r="G4475" s="5">
        <v>2891023133</v>
      </c>
      <c r="H4475" s="4" t="s">
        <v>14246</v>
      </c>
      <c r="I4475" s="4" t="s">
        <v>13943</v>
      </c>
      <c r="J4475" s="4" t="s">
        <v>13993</v>
      </c>
      <c r="K4475" s="4" t="s">
        <v>13994</v>
      </c>
      <c r="L4475" s="5">
        <v>70300</v>
      </c>
    </row>
    <row r="4476" spans="1:12" x14ac:dyDescent="0.25">
      <c r="A4476" s="3" t="s">
        <v>13772</v>
      </c>
      <c r="B4476" s="4" t="s">
        <v>13773</v>
      </c>
      <c r="C4476" s="4" t="s">
        <v>14</v>
      </c>
      <c r="D4476" s="4" t="s">
        <v>15</v>
      </c>
      <c r="E4476" s="5" t="str">
        <f>"9170517"</f>
        <v>9170517</v>
      </c>
      <c r="F4476" s="3" t="s">
        <v>14247</v>
      </c>
      <c r="G4476" s="5">
        <v>2810238757</v>
      </c>
      <c r="H4476" s="4" t="s">
        <v>14248</v>
      </c>
      <c r="I4476" s="4" t="s">
        <v>3193</v>
      </c>
      <c r="J4476" s="4" t="s">
        <v>13779</v>
      </c>
      <c r="K4476" s="4" t="s">
        <v>14249</v>
      </c>
      <c r="L4476" s="5">
        <v>71409</v>
      </c>
    </row>
    <row r="4477" spans="1:12" x14ac:dyDescent="0.25">
      <c r="A4477" s="3" t="s">
        <v>13772</v>
      </c>
      <c r="B4477" s="4" t="s">
        <v>13773</v>
      </c>
      <c r="C4477" s="4" t="s">
        <v>14</v>
      </c>
      <c r="D4477" s="4" t="s">
        <v>15</v>
      </c>
      <c r="E4477" s="5" t="str">
        <f>"9170191"</f>
        <v>9170191</v>
      </c>
      <c r="F4477" s="3" t="s">
        <v>14250</v>
      </c>
      <c r="G4477" s="5">
        <v>2810231459</v>
      </c>
      <c r="H4477" s="4" t="s">
        <v>14251</v>
      </c>
      <c r="I4477" s="4" t="s">
        <v>3193</v>
      </c>
      <c r="J4477" s="4" t="s">
        <v>13779</v>
      </c>
      <c r="K4477" s="4" t="s">
        <v>14252</v>
      </c>
      <c r="L4477" s="5">
        <v>71409</v>
      </c>
    </row>
    <row r="4478" spans="1:12" x14ac:dyDescent="0.25">
      <c r="A4478" s="3" t="s">
        <v>13772</v>
      </c>
      <c r="B4478" s="4" t="s">
        <v>13773</v>
      </c>
      <c r="C4478" s="4" t="s">
        <v>14</v>
      </c>
      <c r="D4478" s="4" t="s">
        <v>15</v>
      </c>
      <c r="E4478" s="5" t="str">
        <f>"9170285"</f>
        <v>9170285</v>
      </c>
      <c r="F4478" s="3" t="s">
        <v>14253</v>
      </c>
      <c r="G4478" s="5">
        <v>2894031223</v>
      </c>
      <c r="H4478" s="4" t="s">
        <v>14254</v>
      </c>
      <c r="I4478" s="4" t="s">
        <v>13931</v>
      </c>
      <c r="J4478" s="4" t="s">
        <v>14255</v>
      </c>
      <c r="K4478" s="4" t="s">
        <v>14256</v>
      </c>
      <c r="L4478" s="5">
        <v>70002</v>
      </c>
    </row>
    <row r="4479" spans="1:12" x14ac:dyDescent="0.25">
      <c r="A4479" s="3" t="s">
        <v>13772</v>
      </c>
      <c r="B4479" s="4" t="s">
        <v>13773</v>
      </c>
      <c r="C4479" s="4" t="s">
        <v>25</v>
      </c>
      <c r="D4479" s="4" t="s">
        <v>26</v>
      </c>
      <c r="E4479" s="5" t="str">
        <f>"9170266"</f>
        <v>9170266</v>
      </c>
      <c r="F4479" s="3" t="s">
        <v>14257</v>
      </c>
      <c r="G4479" s="5">
        <v>2892023328</v>
      </c>
      <c r="H4479" s="4" t="s">
        <v>14258</v>
      </c>
      <c r="I4479" s="4" t="s">
        <v>13931</v>
      </c>
      <c r="J4479" s="4" t="s">
        <v>14259</v>
      </c>
      <c r="K4479" s="4" t="s">
        <v>14260</v>
      </c>
      <c r="L4479" s="5">
        <v>70400</v>
      </c>
    </row>
    <row r="4480" spans="1:12" x14ac:dyDescent="0.25">
      <c r="A4480" s="3" t="s">
        <v>13772</v>
      </c>
      <c r="B4480" s="4" t="s">
        <v>13773</v>
      </c>
      <c r="C4480" s="4" t="s">
        <v>14</v>
      </c>
      <c r="D4480" s="4" t="s">
        <v>15</v>
      </c>
      <c r="E4480" s="5" t="str">
        <f>"9170424"</f>
        <v>9170424</v>
      </c>
      <c r="F4480" s="3" t="s">
        <v>14261</v>
      </c>
      <c r="G4480" s="5">
        <v>2810254530</v>
      </c>
      <c r="H4480" s="4" t="s">
        <v>14262</v>
      </c>
      <c r="I4480" s="4" t="s">
        <v>3193</v>
      </c>
      <c r="J4480" s="4" t="s">
        <v>13779</v>
      </c>
      <c r="K4480" s="4" t="s">
        <v>14185</v>
      </c>
      <c r="L4480" s="5">
        <v>71304</v>
      </c>
    </row>
    <row r="4481" spans="1:12" x14ac:dyDescent="0.25">
      <c r="A4481" s="3" t="s">
        <v>13772</v>
      </c>
      <c r="B4481" s="4" t="s">
        <v>13773</v>
      </c>
      <c r="C4481" s="4" t="s">
        <v>14</v>
      </c>
      <c r="D4481" s="4" t="s">
        <v>15</v>
      </c>
      <c r="E4481" s="5" t="str">
        <f>"9170058"</f>
        <v>9170058</v>
      </c>
      <c r="F4481" s="3" t="s">
        <v>14263</v>
      </c>
      <c r="G4481" s="5">
        <v>2810252903</v>
      </c>
      <c r="H4481" s="4" t="s">
        <v>14264</v>
      </c>
      <c r="I4481" s="4" t="s">
        <v>3193</v>
      </c>
      <c r="J4481" s="4" t="s">
        <v>13779</v>
      </c>
      <c r="K4481" s="4" t="s">
        <v>14265</v>
      </c>
      <c r="L4481" s="5">
        <v>71305</v>
      </c>
    </row>
    <row r="4482" spans="1:12" x14ac:dyDescent="0.25">
      <c r="A4482" s="3" t="s">
        <v>13772</v>
      </c>
      <c r="B4482" s="4" t="s">
        <v>13773</v>
      </c>
      <c r="C4482" s="4" t="s">
        <v>25</v>
      </c>
      <c r="D4482" s="4" t="s">
        <v>26</v>
      </c>
      <c r="E4482" s="5" t="str">
        <f>"9170571"</f>
        <v>9170571</v>
      </c>
      <c r="F4482" s="3" t="s">
        <v>14266</v>
      </c>
      <c r="G4482" s="5">
        <v>2891023446</v>
      </c>
      <c r="H4482" s="4" t="s">
        <v>14267</v>
      </c>
      <c r="I4482" s="4" t="s">
        <v>13943</v>
      </c>
      <c r="J4482" s="4" t="s">
        <v>13993</v>
      </c>
      <c r="K4482" s="4" t="s">
        <v>13994</v>
      </c>
      <c r="L4482" s="5">
        <v>70300</v>
      </c>
    </row>
    <row r="4483" spans="1:12" x14ac:dyDescent="0.25">
      <c r="A4483" s="3" t="s">
        <v>13772</v>
      </c>
      <c r="B4483" s="4" t="s">
        <v>13773</v>
      </c>
      <c r="C4483" s="4" t="s">
        <v>14</v>
      </c>
      <c r="D4483" s="4" t="s">
        <v>15</v>
      </c>
      <c r="E4483" s="5" t="str">
        <f>"9170531"</f>
        <v>9170531</v>
      </c>
      <c r="F4483" s="3" t="s">
        <v>14268</v>
      </c>
      <c r="G4483" s="5">
        <v>2810229104</v>
      </c>
      <c r="H4483" s="4" t="s">
        <v>14269</v>
      </c>
      <c r="I4483" s="4" t="s">
        <v>3193</v>
      </c>
      <c r="J4483" s="4" t="s">
        <v>13779</v>
      </c>
      <c r="K4483" s="4" t="s">
        <v>14091</v>
      </c>
      <c r="L4483" s="5">
        <v>71202</v>
      </c>
    </row>
    <row r="4484" spans="1:12" x14ac:dyDescent="0.25">
      <c r="A4484" s="3" t="s">
        <v>13772</v>
      </c>
      <c r="B4484" s="4" t="s">
        <v>13773</v>
      </c>
      <c r="C4484" s="4" t="s">
        <v>14</v>
      </c>
      <c r="D4484" s="4" t="s">
        <v>15</v>
      </c>
      <c r="E4484" s="5" t="str">
        <f>"9170206"</f>
        <v>9170206</v>
      </c>
      <c r="F4484" s="3" t="s">
        <v>14270</v>
      </c>
      <c r="G4484" s="5">
        <v>2810761137</v>
      </c>
      <c r="H4484" s="4" t="s">
        <v>14271</v>
      </c>
      <c r="I4484" s="4" t="s">
        <v>13794</v>
      </c>
      <c r="J4484" s="4" t="s">
        <v>14272</v>
      </c>
      <c r="K4484" s="4" t="s">
        <v>14272</v>
      </c>
      <c r="L4484" s="5">
        <v>71500</v>
      </c>
    </row>
    <row r="4485" spans="1:12" x14ac:dyDescent="0.25">
      <c r="A4485" s="3" t="s">
        <v>13772</v>
      </c>
      <c r="B4485" s="4" t="s">
        <v>13773</v>
      </c>
      <c r="C4485" s="4" t="s">
        <v>14</v>
      </c>
      <c r="D4485" s="4" t="s">
        <v>15</v>
      </c>
      <c r="E4485" s="5" t="str">
        <f>"9170362"</f>
        <v>9170362</v>
      </c>
      <c r="F4485" s="3" t="s">
        <v>14273</v>
      </c>
      <c r="G4485" s="5">
        <v>2810255261</v>
      </c>
      <c r="H4485" s="4" t="s">
        <v>14274</v>
      </c>
      <c r="I4485" s="4" t="s">
        <v>3193</v>
      </c>
      <c r="J4485" s="4" t="s">
        <v>13779</v>
      </c>
      <c r="K4485" s="4" t="s">
        <v>14275</v>
      </c>
      <c r="L4485" s="5">
        <v>71303</v>
      </c>
    </row>
    <row r="4486" spans="1:12" x14ac:dyDescent="0.25">
      <c r="A4486" s="3" t="s">
        <v>13772</v>
      </c>
      <c r="B4486" s="4" t="s">
        <v>13773</v>
      </c>
      <c r="C4486" s="4" t="s">
        <v>14</v>
      </c>
      <c r="D4486" s="4" t="s">
        <v>15</v>
      </c>
      <c r="E4486" s="5" t="str">
        <f>"9170068"</f>
        <v>9170068</v>
      </c>
      <c r="F4486" s="3" t="s">
        <v>14276</v>
      </c>
      <c r="G4486" s="5">
        <v>2893031217</v>
      </c>
      <c r="H4486" s="4" t="s">
        <v>14277</v>
      </c>
      <c r="I4486" s="4" t="s">
        <v>14049</v>
      </c>
      <c r="J4486" s="4" t="s">
        <v>14278</v>
      </c>
      <c r="K4486" s="4" t="s">
        <v>14279</v>
      </c>
      <c r="L4486" s="5">
        <v>70016</v>
      </c>
    </row>
    <row r="4487" spans="1:12" x14ac:dyDescent="0.25">
      <c r="A4487" s="3" t="s">
        <v>13772</v>
      </c>
      <c r="B4487" s="4" t="s">
        <v>13773</v>
      </c>
      <c r="C4487" s="4" t="s">
        <v>14</v>
      </c>
      <c r="D4487" s="4" t="s">
        <v>15</v>
      </c>
      <c r="E4487" s="5" t="str">
        <f>"9170547"</f>
        <v>9170547</v>
      </c>
      <c r="F4487" s="3" t="s">
        <v>14280</v>
      </c>
      <c r="G4487" s="5">
        <v>2810250886</v>
      </c>
      <c r="H4487" s="4" t="s">
        <v>14281</v>
      </c>
      <c r="I4487" s="4" t="s">
        <v>3193</v>
      </c>
      <c r="J4487" s="4" t="s">
        <v>13779</v>
      </c>
      <c r="K4487" s="4" t="s">
        <v>14275</v>
      </c>
      <c r="L4487" s="5">
        <v>71303</v>
      </c>
    </row>
    <row r="4488" spans="1:12" x14ac:dyDescent="0.25">
      <c r="A4488" s="3" t="s">
        <v>13772</v>
      </c>
      <c r="B4488" s="4" t="s">
        <v>13773</v>
      </c>
      <c r="C4488" s="4" t="s">
        <v>14</v>
      </c>
      <c r="D4488" s="4" t="s">
        <v>15</v>
      </c>
      <c r="E4488" s="5" t="str">
        <f>"9170190"</f>
        <v>9170190</v>
      </c>
      <c r="F4488" s="3" t="s">
        <v>14282</v>
      </c>
      <c r="G4488" s="5">
        <v>2810232169</v>
      </c>
      <c r="H4488" s="4" t="s">
        <v>14283</v>
      </c>
      <c r="I4488" s="4" t="s">
        <v>3193</v>
      </c>
      <c r="J4488" s="4" t="s">
        <v>14284</v>
      </c>
      <c r="K4488" s="4" t="s">
        <v>14285</v>
      </c>
      <c r="L4488" s="5">
        <v>71409</v>
      </c>
    </row>
    <row r="4489" spans="1:12" x14ac:dyDescent="0.25">
      <c r="A4489" s="3" t="s">
        <v>13772</v>
      </c>
      <c r="B4489" s="4" t="s">
        <v>13773</v>
      </c>
      <c r="C4489" s="4" t="s">
        <v>14</v>
      </c>
      <c r="D4489" s="4" t="s">
        <v>15</v>
      </c>
      <c r="E4489" s="5" t="str">
        <f>"9170267"</f>
        <v>9170267</v>
      </c>
      <c r="F4489" s="3" t="s">
        <v>14286</v>
      </c>
      <c r="G4489" s="5">
        <v>2892022320</v>
      </c>
      <c r="H4489" s="4" t="s">
        <v>14287</v>
      </c>
      <c r="I4489" s="4" t="s">
        <v>13931</v>
      </c>
      <c r="J4489" s="4" t="s">
        <v>13948</v>
      </c>
      <c r="K4489" s="4" t="s">
        <v>14288</v>
      </c>
      <c r="L4489" s="5">
        <v>70400</v>
      </c>
    </row>
    <row r="4490" spans="1:12" x14ac:dyDescent="0.25">
      <c r="A4490" s="3" t="s">
        <v>13772</v>
      </c>
      <c r="B4490" s="4" t="s">
        <v>13773</v>
      </c>
      <c r="C4490" s="4" t="s">
        <v>14</v>
      </c>
      <c r="D4490" s="4" t="s">
        <v>15</v>
      </c>
      <c r="E4490" s="5" t="str">
        <f>"9170309"</f>
        <v>9170309</v>
      </c>
      <c r="F4490" s="3" t="s">
        <v>14289</v>
      </c>
      <c r="G4490" s="5">
        <v>2893041265</v>
      </c>
      <c r="H4490" s="4" t="s">
        <v>14290</v>
      </c>
      <c r="I4490" s="4" t="s">
        <v>14049</v>
      </c>
      <c r="J4490" s="4" t="s">
        <v>14291</v>
      </c>
      <c r="K4490" s="4" t="s">
        <v>14291</v>
      </c>
      <c r="L4490" s="5">
        <v>70012</v>
      </c>
    </row>
    <row r="4491" spans="1:12" x14ac:dyDescent="0.25">
      <c r="A4491" s="3" t="s">
        <v>13772</v>
      </c>
      <c r="B4491" s="4" t="s">
        <v>13773</v>
      </c>
      <c r="C4491" s="4" t="s">
        <v>14</v>
      </c>
      <c r="D4491" s="4" t="s">
        <v>15</v>
      </c>
      <c r="E4491" s="5" t="str">
        <f>"9170345"</f>
        <v>9170345</v>
      </c>
      <c r="F4491" s="3" t="s">
        <v>14292</v>
      </c>
      <c r="G4491" s="5">
        <v>2810289563</v>
      </c>
      <c r="H4491" s="4" t="s">
        <v>14293</v>
      </c>
      <c r="I4491" s="4" t="s">
        <v>3193</v>
      </c>
      <c r="J4491" s="4" t="s">
        <v>13779</v>
      </c>
      <c r="K4491" s="4" t="s">
        <v>14204</v>
      </c>
      <c r="L4491" s="5">
        <v>71305</v>
      </c>
    </row>
    <row r="4492" spans="1:12" x14ac:dyDescent="0.25">
      <c r="A4492" s="3" t="s">
        <v>13772</v>
      </c>
      <c r="B4492" s="4" t="s">
        <v>13773</v>
      </c>
      <c r="C4492" s="4" t="s">
        <v>14</v>
      </c>
      <c r="D4492" s="4" t="s">
        <v>15</v>
      </c>
      <c r="E4492" s="5" t="str">
        <f>"9170056"</f>
        <v>9170056</v>
      </c>
      <c r="F4492" s="3" t="s">
        <v>14294</v>
      </c>
      <c r="G4492" s="5">
        <v>2810253392</v>
      </c>
      <c r="H4492" s="4" t="s">
        <v>14295</v>
      </c>
      <c r="I4492" s="4" t="s">
        <v>3193</v>
      </c>
      <c r="J4492" s="4" t="s">
        <v>14296</v>
      </c>
      <c r="K4492" s="4" t="s">
        <v>14297</v>
      </c>
      <c r="L4492" s="5">
        <v>71305</v>
      </c>
    </row>
    <row r="4493" spans="1:12" x14ac:dyDescent="0.25">
      <c r="A4493" s="3" t="s">
        <v>13772</v>
      </c>
      <c r="B4493" s="4" t="s">
        <v>13773</v>
      </c>
      <c r="C4493" s="4" t="s">
        <v>14</v>
      </c>
      <c r="D4493" s="4" t="s">
        <v>15</v>
      </c>
      <c r="E4493" s="5" t="str">
        <f>"9170536"</f>
        <v>9170536</v>
      </c>
      <c r="F4493" s="3" t="s">
        <v>14298</v>
      </c>
      <c r="G4493" s="5">
        <v>2892051187</v>
      </c>
      <c r="H4493" s="4" t="s">
        <v>14299</v>
      </c>
      <c r="I4493" s="4" t="s">
        <v>13931</v>
      </c>
      <c r="J4493" s="4" t="s">
        <v>13933</v>
      </c>
      <c r="K4493" s="4" t="s">
        <v>14300</v>
      </c>
      <c r="L4493" s="5">
        <v>70200</v>
      </c>
    </row>
    <row r="4494" spans="1:12" x14ac:dyDescent="0.25">
      <c r="A4494" s="3" t="s">
        <v>13772</v>
      </c>
      <c r="B4494" s="4" t="s">
        <v>13773</v>
      </c>
      <c r="C4494" s="4" t="s">
        <v>14</v>
      </c>
      <c r="D4494" s="4" t="s">
        <v>15</v>
      </c>
      <c r="E4494" s="5" t="str">
        <f>"9170108"</f>
        <v>9170108</v>
      </c>
      <c r="F4494" s="3" t="s">
        <v>14301</v>
      </c>
      <c r="G4494" s="5">
        <v>2810232111</v>
      </c>
      <c r="H4494" s="4" t="s">
        <v>14302</v>
      </c>
      <c r="I4494" s="4" t="s">
        <v>3193</v>
      </c>
      <c r="J4494" s="4" t="s">
        <v>13779</v>
      </c>
      <c r="K4494" s="4" t="s">
        <v>14303</v>
      </c>
      <c r="L4494" s="5">
        <v>71306</v>
      </c>
    </row>
    <row r="4495" spans="1:12" x14ac:dyDescent="0.25">
      <c r="A4495" s="3" t="s">
        <v>13772</v>
      </c>
      <c r="B4495" s="4" t="s">
        <v>13773</v>
      </c>
      <c r="C4495" s="4" t="s">
        <v>14</v>
      </c>
      <c r="D4495" s="4" t="s">
        <v>15</v>
      </c>
      <c r="E4495" s="5" t="str">
        <f>"9170300"</f>
        <v>9170300</v>
      </c>
      <c r="F4495" s="3" t="s">
        <v>14304</v>
      </c>
      <c r="G4495" s="5">
        <v>2892041219</v>
      </c>
      <c r="H4495" s="4" t="s">
        <v>14305</v>
      </c>
      <c r="I4495" s="4" t="s">
        <v>13931</v>
      </c>
      <c r="J4495" s="4" t="s">
        <v>14306</v>
      </c>
      <c r="K4495" s="4" t="s">
        <v>14306</v>
      </c>
      <c r="L4495" s="5">
        <v>70400</v>
      </c>
    </row>
    <row r="4496" spans="1:12" ht="30" x14ac:dyDescent="0.25">
      <c r="A4496" s="3" t="s">
        <v>13772</v>
      </c>
      <c r="B4496" s="4" t="s">
        <v>13773</v>
      </c>
      <c r="C4496" s="4" t="s">
        <v>14</v>
      </c>
      <c r="D4496" s="4" t="s">
        <v>15</v>
      </c>
      <c r="E4496" s="5" t="str">
        <f>"9170514"</f>
        <v>9170514</v>
      </c>
      <c r="F4496" s="3" t="s">
        <v>14307</v>
      </c>
      <c r="G4496" s="5">
        <v>2810238666</v>
      </c>
      <c r="H4496" s="4" t="s">
        <v>14308</v>
      </c>
      <c r="I4496" s="4" t="s">
        <v>3193</v>
      </c>
      <c r="J4496" s="4" t="s">
        <v>13779</v>
      </c>
      <c r="K4496" s="4" t="s">
        <v>14309</v>
      </c>
      <c r="L4496" s="5">
        <v>71305</v>
      </c>
    </row>
    <row r="4497" spans="1:12" x14ac:dyDescent="0.25">
      <c r="A4497" s="3" t="s">
        <v>13772</v>
      </c>
      <c r="B4497" s="4" t="s">
        <v>13773</v>
      </c>
      <c r="C4497" s="4" t="s">
        <v>14</v>
      </c>
      <c r="D4497" s="4" t="s">
        <v>15</v>
      </c>
      <c r="E4497" s="5" t="str">
        <f>"9170580"</f>
        <v>9170580</v>
      </c>
      <c r="F4497" s="3" t="s">
        <v>14310</v>
      </c>
      <c r="G4497" s="5">
        <v>2810542809</v>
      </c>
      <c r="H4497" s="4" t="s">
        <v>14311</v>
      </c>
      <c r="I4497" s="4" t="s">
        <v>3193</v>
      </c>
      <c r="J4497" s="4" t="s">
        <v>14312</v>
      </c>
      <c r="K4497" s="4" t="s">
        <v>14313</v>
      </c>
      <c r="L4497" s="5">
        <v>70013</v>
      </c>
    </row>
    <row r="4498" spans="1:12" x14ac:dyDescent="0.25">
      <c r="A4498" s="3" t="s">
        <v>13772</v>
      </c>
      <c r="B4498" s="4" t="s">
        <v>13773</v>
      </c>
      <c r="C4498" s="4" t="s">
        <v>25</v>
      </c>
      <c r="D4498" s="4" t="s">
        <v>26</v>
      </c>
      <c r="E4498" s="5" t="str">
        <f>"9170256"</f>
        <v>9170256</v>
      </c>
      <c r="F4498" s="3" t="s">
        <v>14314</v>
      </c>
      <c r="G4498" s="5">
        <v>2810211000</v>
      </c>
      <c r="H4498" s="4" t="s">
        <v>14315</v>
      </c>
      <c r="I4498" s="4" t="s">
        <v>3193</v>
      </c>
      <c r="J4498" s="4" t="s">
        <v>3193</v>
      </c>
      <c r="K4498" s="4" t="s">
        <v>14316</v>
      </c>
      <c r="L4498" s="5">
        <v>71409</v>
      </c>
    </row>
    <row r="4499" spans="1:12" x14ac:dyDescent="0.25">
      <c r="A4499" s="3" t="s">
        <v>13772</v>
      </c>
      <c r="B4499" s="4" t="s">
        <v>13773</v>
      </c>
      <c r="C4499" s="4" t="s">
        <v>14</v>
      </c>
      <c r="D4499" s="4" t="s">
        <v>15</v>
      </c>
      <c r="E4499" s="5" t="str">
        <f>"9170431"</f>
        <v>9170431</v>
      </c>
      <c r="F4499" s="3" t="s">
        <v>14317</v>
      </c>
      <c r="G4499" s="5">
        <v>2810250952</v>
      </c>
      <c r="H4499" s="4" t="s">
        <v>14318</v>
      </c>
      <c r="I4499" s="4" t="s">
        <v>3193</v>
      </c>
      <c r="J4499" s="4" t="s">
        <v>13779</v>
      </c>
      <c r="K4499" s="4" t="s">
        <v>13832</v>
      </c>
      <c r="L4499" s="5">
        <v>71304</v>
      </c>
    </row>
    <row r="4500" spans="1:12" x14ac:dyDescent="0.25">
      <c r="A4500" s="3" t="s">
        <v>13772</v>
      </c>
      <c r="B4500" s="4" t="s">
        <v>13773</v>
      </c>
      <c r="C4500" s="4" t="s">
        <v>25</v>
      </c>
      <c r="D4500" s="4" t="s">
        <v>26</v>
      </c>
      <c r="E4500" s="5" t="str">
        <f>"9520695"</f>
        <v>9520695</v>
      </c>
      <c r="F4500" s="3" t="s">
        <v>14319</v>
      </c>
      <c r="G4500" s="5">
        <v>2810235506</v>
      </c>
      <c r="H4500" s="4" t="s">
        <v>14320</v>
      </c>
      <c r="I4500" s="4" t="s">
        <v>3193</v>
      </c>
      <c r="J4500" s="4" t="s">
        <v>3193</v>
      </c>
      <c r="K4500" s="4" t="s">
        <v>14321</v>
      </c>
      <c r="L4500" s="5">
        <v>71409</v>
      </c>
    </row>
    <row r="4501" spans="1:12" x14ac:dyDescent="0.25">
      <c r="A4501" s="3" t="s">
        <v>13772</v>
      </c>
      <c r="B4501" s="4" t="s">
        <v>13773</v>
      </c>
      <c r="C4501" s="4" t="s">
        <v>14</v>
      </c>
      <c r="D4501" s="4" t="s">
        <v>15</v>
      </c>
      <c r="E4501" s="5" t="str">
        <f>"9170192"</f>
        <v>9170192</v>
      </c>
      <c r="F4501" s="3" t="s">
        <v>14322</v>
      </c>
      <c r="G4501" s="5">
        <v>2810231985</v>
      </c>
      <c r="H4501" s="4" t="s">
        <v>14323</v>
      </c>
      <c r="I4501" s="4" t="s">
        <v>3193</v>
      </c>
      <c r="J4501" s="4" t="s">
        <v>3727</v>
      </c>
      <c r="K4501" s="4" t="s">
        <v>14324</v>
      </c>
      <c r="L4501" s="5">
        <v>71409</v>
      </c>
    </row>
    <row r="4502" spans="1:12" x14ac:dyDescent="0.25">
      <c r="A4502" s="3" t="s">
        <v>13772</v>
      </c>
      <c r="B4502" s="4" t="s">
        <v>13773</v>
      </c>
      <c r="C4502" s="4" t="s">
        <v>14</v>
      </c>
      <c r="D4502" s="4" t="s">
        <v>15</v>
      </c>
      <c r="E4502" s="5" t="str">
        <f>"9170002"</f>
        <v>9170002</v>
      </c>
      <c r="F4502" s="3" t="s">
        <v>14325</v>
      </c>
      <c r="G4502" s="5">
        <v>2894041207</v>
      </c>
      <c r="H4502" s="4" t="s">
        <v>14326</v>
      </c>
      <c r="I4502" s="4" t="s">
        <v>14049</v>
      </c>
      <c r="J4502" s="4" t="s">
        <v>14327</v>
      </c>
      <c r="K4502" s="4" t="s">
        <v>14328</v>
      </c>
      <c r="L4502" s="5">
        <v>70003</v>
      </c>
    </row>
    <row r="4503" spans="1:12" x14ac:dyDescent="0.25">
      <c r="A4503" s="3" t="s">
        <v>13772</v>
      </c>
      <c r="B4503" s="4" t="s">
        <v>13773</v>
      </c>
      <c r="C4503" s="4" t="s">
        <v>14</v>
      </c>
      <c r="D4503" s="4" t="s">
        <v>179</v>
      </c>
      <c r="E4503" s="5" t="str">
        <f>"9170340"</f>
        <v>9170340</v>
      </c>
      <c r="F4503" s="3" t="s">
        <v>14329</v>
      </c>
      <c r="G4503" s="5">
        <v>2892023333</v>
      </c>
      <c r="H4503" s="4" t="s">
        <v>14330</v>
      </c>
      <c r="I4503" s="4" t="s">
        <v>13931</v>
      </c>
      <c r="J4503" s="4" t="s">
        <v>14331</v>
      </c>
      <c r="K4503" s="4" t="s">
        <v>14332</v>
      </c>
      <c r="L4503" s="5">
        <v>70400</v>
      </c>
    </row>
    <row r="4504" spans="1:12" x14ac:dyDescent="0.25">
      <c r="A4504" s="3" t="s">
        <v>13772</v>
      </c>
      <c r="B4504" s="4" t="s">
        <v>13773</v>
      </c>
      <c r="C4504" s="4" t="s">
        <v>14</v>
      </c>
      <c r="D4504" s="4" t="s">
        <v>179</v>
      </c>
      <c r="E4504" s="5" t="str">
        <f>"9170279"</f>
        <v>9170279</v>
      </c>
      <c r="F4504" s="3" t="s">
        <v>14333</v>
      </c>
      <c r="G4504" s="5">
        <v>2894034011</v>
      </c>
      <c r="H4504" s="4" t="s">
        <v>14334</v>
      </c>
      <c r="I4504" s="4" t="s">
        <v>13931</v>
      </c>
      <c r="J4504" s="4" t="s">
        <v>14335</v>
      </c>
      <c r="K4504" s="4" t="s">
        <v>14335</v>
      </c>
      <c r="L4504" s="5">
        <v>70002</v>
      </c>
    </row>
    <row r="4505" spans="1:12" x14ac:dyDescent="0.25">
      <c r="A4505" s="3" t="s">
        <v>13772</v>
      </c>
      <c r="B4505" s="4" t="s">
        <v>13773</v>
      </c>
      <c r="C4505" s="4" t="s">
        <v>25</v>
      </c>
      <c r="D4505" s="4" t="s">
        <v>26</v>
      </c>
      <c r="E4505" s="5" t="str">
        <f>"9170337"</f>
        <v>9170337</v>
      </c>
      <c r="F4505" s="3" t="s">
        <v>14336</v>
      </c>
      <c r="G4505" s="5">
        <v>2892053029</v>
      </c>
      <c r="H4505" s="4" t="s">
        <v>14337</v>
      </c>
      <c r="I4505" s="4" t="s">
        <v>13931</v>
      </c>
      <c r="J4505" s="4" t="s">
        <v>14200</v>
      </c>
      <c r="K4505" s="4" t="s">
        <v>14300</v>
      </c>
      <c r="L4505" s="5">
        <v>70200</v>
      </c>
    </row>
    <row r="4506" spans="1:12" x14ac:dyDescent="0.25">
      <c r="A4506" s="3" t="s">
        <v>13772</v>
      </c>
      <c r="B4506" s="4" t="s">
        <v>13773</v>
      </c>
      <c r="C4506" s="4" t="s">
        <v>25</v>
      </c>
      <c r="D4506" s="4" t="s">
        <v>26</v>
      </c>
      <c r="E4506" s="5" t="str">
        <f>"9170347"</f>
        <v>9170347</v>
      </c>
      <c r="F4506" s="3" t="s">
        <v>14338</v>
      </c>
      <c r="G4506" s="5">
        <v>2893031831</v>
      </c>
      <c r="H4506" s="4" t="s">
        <v>14339</v>
      </c>
      <c r="I4506" s="4" t="s">
        <v>14049</v>
      </c>
      <c r="J4506" s="4" t="s">
        <v>14340</v>
      </c>
      <c r="K4506" s="4" t="s">
        <v>14279</v>
      </c>
      <c r="L4506" s="5">
        <v>70016</v>
      </c>
    </row>
    <row r="4507" spans="1:12" x14ac:dyDescent="0.25">
      <c r="A4507" s="3" t="s">
        <v>13772</v>
      </c>
      <c r="B4507" s="4" t="s">
        <v>13773</v>
      </c>
      <c r="C4507" s="4" t="s">
        <v>25</v>
      </c>
      <c r="D4507" s="4" t="s">
        <v>26</v>
      </c>
      <c r="E4507" s="5" t="str">
        <f>"9170357"</f>
        <v>9170357</v>
      </c>
      <c r="F4507" s="3" t="s">
        <v>14341</v>
      </c>
      <c r="G4507" s="5">
        <v>2894031009</v>
      </c>
      <c r="H4507" s="4" t="s">
        <v>14342</v>
      </c>
      <c r="I4507" s="4" t="s">
        <v>13931</v>
      </c>
      <c r="J4507" s="4" t="s">
        <v>14343</v>
      </c>
      <c r="K4507" s="4" t="s">
        <v>14256</v>
      </c>
      <c r="L4507" s="5">
        <v>70002</v>
      </c>
    </row>
    <row r="4508" spans="1:12" x14ac:dyDescent="0.25">
      <c r="A4508" s="3" t="s">
        <v>13772</v>
      </c>
      <c r="B4508" s="4" t="s">
        <v>13773</v>
      </c>
      <c r="C4508" s="4" t="s">
        <v>25</v>
      </c>
      <c r="D4508" s="4" t="s">
        <v>26</v>
      </c>
      <c r="E4508" s="5" t="str">
        <f>"9170552"</f>
        <v>9170552</v>
      </c>
      <c r="F4508" s="3" t="s">
        <v>14344</v>
      </c>
      <c r="G4508" s="5">
        <v>2892025131</v>
      </c>
      <c r="H4508" s="4" t="s">
        <v>14345</v>
      </c>
      <c r="I4508" s="4" t="s">
        <v>13931</v>
      </c>
      <c r="J4508" s="4" t="s">
        <v>14259</v>
      </c>
      <c r="K4508" s="4" t="s">
        <v>13948</v>
      </c>
      <c r="L4508" s="5">
        <v>70400</v>
      </c>
    </row>
    <row r="4509" spans="1:12" x14ac:dyDescent="0.25">
      <c r="A4509" s="3" t="s">
        <v>13772</v>
      </c>
      <c r="B4509" s="4" t="s">
        <v>13773</v>
      </c>
      <c r="C4509" s="4" t="s">
        <v>14</v>
      </c>
      <c r="D4509" s="4" t="s">
        <v>15</v>
      </c>
      <c r="E4509" s="5" t="str">
        <f>"9170295"</f>
        <v>9170295</v>
      </c>
      <c r="F4509" s="3" t="s">
        <v>14346</v>
      </c>
      <c r="G4509" s="5">
        <v>2892042231</v>
      </c>
      <c r="H4509" s="4" t="s">
        <v>14347</v>
      </c>
      <c r="I4509" s="4" t="s">
        <v>13931</v>
      </c>
      <c r="J4509" s="4" t="s">
        <v>14348</v>
      </c>
      <c r="K4509" s="4" t="s">
        <v>14348</v>
      </c>
      <c r="L4509" s="5">
        <v>70400</v>
      </c>
    </row>
    <row r="4510" spans="1:12" x14ac:dyDescent="0.25">
      <c r="A4510" s="3" t="s">
        <v>13772</v>
      </c>
      <c r="B4510" s="4" t="s">
        <v>13773</v>
      </c>
      <c r="C4510" s="4" t="s">
        <v>14</v>
      </c>
      <c r="D4510" s="4" t="s">
        <v>15</v>
      </c>
      <c r="E4510" s="5" t="str">
        <f>"9170247"</f>
        <v>9170247</v>
      </c>
      <c r="F4510" s="3" t="s">
        <v>14349</v>
      </c>
      <c r="G4510" s="5">
        <v>2810731278</v>
      </c>
      <c r="H4510" s="4" t="s">
        <v>14350</v>
      </c>
      <c r="I4510" s="4" t="s">
        <v>3193</v>
      </c>
      <c r="J4510" s="4" t="s">
        <v>14351</v>
      </c>
      <c r="K4510" s="4" t="s">
        <v>14351</v>
      </c>
      <c r="L4510" s="5">
        <v>71500</v>
      </c>
    </row>
    <row r="4511" spans="1:12" x14ac:dyDescent="0.25">
      <c r="A4511" s="3" t="s">
        <v>13772</v>
      </c>
      <c r="B4511" s="4" t="s">
        <v>13773</v>
      </c>
      <c r="C4511" s="4" t="s">
        <v>25</v>
      </c>
      <c r="D4511" s="4" t="s">
        <v>26</v>
      </c>
      <c r="E4511" s="5" t="str">
        <f>"9170589"</f>
        <v>9170589</v>
      </c>
      <c r="F4511" s="3" t="s">
        <v>14352</v>
      </c>
      <c r="G4511" s="5">
        <v>2810763139</v>
      </c>
      <c r="H4511" s="4" t="s">
        <v>14353</v>
      </c>
      <c r="I4511" s="4" t="s">
        <v>13794</v>
      </c>
      <c r="J4511" s="4" t="s">
        <v>13939</v>
      </c>
      <c r="K4511" s="4" t="s">
        <v>14354</v>
      </c>
      <c r="L4511" s="5">
        <v>71500</v>
      </c>
    </row>
    <row r="4512" spans="1:12" x14ac:dyDescent="0.25">
      <c r="A4512" s="3" t="s">
        <v>13772</v>
      </c>
      <c r="B4512" s="4" t="s">
        <v>13773</v>
      </c>
      <c r="C4512" s="4" t="s">
        <v>25</v>
      </c>
      <c r="D4512" s="4" t="s">
        <v>26</v>
      </c>
      <c r="E4512" s="5" t="str">
        <f>"9170562"</f>
        <v>9170562</v>
      </c>
      <c r="F4512" s="3" t="s">
        <v>14355</v>
      </c>
      <c r="G4512" s="5">
        <v>2810822781</v>
      </c>
      <c r="H4512" s="4" t="s">
        <v>14356</v>
      </c>
      <c r="I4512" s="4" t="s">
        <v>13972</v>
      </c>
      <c r="J4512" s="4" t="s">
        <v>13973</v>
      </c>
      <c r="K4512" s="4" t="s">
        <v>14357</v>
      </c>
      <c r="L4512" s="5">
        <v>71414</v>
      </c>
    </row>
    <row r="4513" spans="1:12" x14ac:dyDescent="0.25">
      <c r="A4513" s="3" t="s">
        <v>13772</v>
      </c>
      <c r="B4513" s="4" t="s">
        <v>13773</v>
      </c>
      <c r="C4513" s="4" t="s">
        <v>25</v>
      </c>
      <c r="D4513" s="4" t="s">
        <v>26</v>
      </c>
      <c r="E4513" s="5" t="str">
        <f>"9170603"</f>
        <v>9170603</v>
      </c>
      <c r="F4513" s="3" t="s">
        <v>14358</v>
      </c>
      <c r="G4513" s="5">
        <v>2810542177</v>
      </c>
      <c r="H4513" s="4" t="s">
        <v>14359</v>
      </c>
      <c r="I4513" s="4" t="s">
        <v>3193</v>
      </c>
      <c r="J4513" s="4" t="s">
        <v>14312</v>
      </c>
      <c r="K4513" s="4" t="s">
        <v>14360</v>
      </c>
      <c r="L4513" s="5">
        <v>70013</v>
      </c>
    </row>
    <row r="4514" spans="1:12" x14ac:dyDescent="0.25">
      <c r="A4514" s="3" t="s">
        <v>13772</v>
      </c>
      <c r="B4514" s="4" t="s">
        <v>13773</v>
      </c>
      <c r="C4514" s="4" t="s">
        <v>25</v>
      </c>
      <c r="D4514" s="4" t="s">
        <v>26</v>
      </c>
      <c r="E4514" s="5" t="str">
        <f>"9170585"</f>
        <v>9170585</v>
      </c>
      <c r="F4514" s="3" t="s">
        <v>14361</v>
      </c>
      <c r="G4514" s="5">
        <v>2810542736</v>
      </c>
      <c r="H4514" s="4" t="s">
        <v>14362</v>
      </c>
      <c r="I4514" s="4" t="s">
        <v>3193</v>
      </c>
      <c r="J4514" s="4" t="s">
        <v>14363</v>
      </c>
      <c r="K4514" s="4" t="s">
        <v>14313</v>
      </c>
      <c r="L4514" s="5">
        <v>70013</v>
      </c>
    </row>
    <row r="4515" spans="1:12" x14ac:dyDescent="0.25">
      <c r="A4515" s="3" t="s">
        <v>13772</v>
      </c>
      <c r="B4515" s="4" t="s">
        <v>13773</v>
      </c>
      <c r="C4515" s="4" t="s">
        <v>25</v>
      </c>
      <c r="D4515" s="4" t="s">
        <v>26</v>
      </c>
      <c r="E4515" s="5" t="str">
        <f>"9170366"</f>
        <v>9170366</v>
      </c>
      <c r="F4515" s="3" t="s">
        <v>14364</v>
      </c>
      <c r="G4515" s="5">
        <v>2810791740</v>
      </c>
      <c r="H4515" s="4" t="s">
        <v>14365</v>
      </c>
      <c r="I4515" s="4" t="s">
        <v>3193</v>
      </c>
      <c r="J4515" s="4" t="s">
        <v>14153</v>
      </c>
      <c r="K4515" s="4" t="s">
        <v>14366</v>
      </c>
      <c r="L4515" s="5">
        <v>70011</v>
      </c>
    </row>
    <row r="4516" spans="1:12" x14ac:dyDescent="0.25">
      <c r="A4516" s="3" t="s">
        <v>13772</v>
      </c>
      <c r="B4516" s="4" t="s">
        <v>13773</v>
      </c>
      <c r="C4516" s="4" t="s">
        <v>14</v>
      </c>
      <c r="D4516" s="4" t="s">
        <v>15</v>
      </c>
      <c r="E4516" s="5" t="str">
        <f>"9170560"</f>
        <v>9170560</v>
      </c>
      <c r="F4516" s="3" t="s">
        <v>14367</v>
      </c>
      <c r="G4516" s="5">
        <v>2810821816</v>
      </c>
      <c r="H4516" s="4" t="s">
        <v>14368</v>
      </c>
      <c r="I4516" s="4" t="s">
        <v>13972</v>
      </c>
      <c r="J4516" s="4" t="s">
        <v>13973</v>
      </c>
      <c r="K4516" s="4" t="s">
        <v>14369</v>
      </c>
      <c r="L4516" s="5">
        <v>71414</v>
      </c>
    </row>
    <row r="4517" spans="1:12" x14ac:dyDescent="0.25">
      <c r="A4517" s="3" t="s">
        <v>13772</v>
      </c>
      <c r="B4517" s="4" t="s">
        <v>13773</v>
      </c>
      <c r="C4517" s="4" t="s">
        <v>14</v>
      </c>
      <c r="D4517" s="4" t="s">
        <v>179</v>
      </c>
      <c r="E4517" s="5" t="str">
        <f>"9170013"</f>
        <v>9170013</v>
      </c>
      <c r="F4517" s="3" t="s">
        <v>14370</v>
      </c>
      <c r="G4517" s="5">
        <v>2810721410</v>
      </c>
      <c r="H4517" s="4" t="s">
        <v>14371</v>
      </c>
      <c r="I4517" s="4" t="s">
        <v>3193</v>
      </c>
      <c r="J4517" s="4" t="s">
        <v>14312</v>
      </c>
      <c r="K4517" s="4" t="s">
        <v>14312</v>
      </c>
      <c r="L4517" s="5">
        <v>70013</v>
      </c>
    </row>
    <row r="4518" spans="1:12" x14ac:dyDescent="0.25">
      <c r="A4518" s="3" t="s">
        <v>13772</v>
      </c>
      <c r="B4518" s="4" t="s">
        <v>13773</v>
      </c>
      <c r="C4518" s="4" t="s">
        <v>25</v>
      </c>
      <c r="D4518" s="4" t="s">
        <v>26</v>
      </c>
      <c r="E4518" s="5" t="str">
        <f>"9170505"</f>
        <v>9170505</v>
      </c>
      <c r="F4518" s="3" t="s">
        <v>14372</v>
      </c>
      <c r="G4518" s="5">
        <v>2810243082</v>
      </c>
      <c r="H4518" s="4" t="s">
        <v>14373</v>
      </c>
      <c r="I4518" s="4" t="s">
        <v>3193</v>
      </c>
      <c r="J4518" s="4" t="s">
        <v>3193</v>
      </c>
      <c r="K4518" s="4" t="s">
        <v>14374</v>
      </c>
      <c r="L4518" s="5">
        <v>71307</v>
      </c>
    </row>
    <row r="4519" spans="1:12" x14ac:dyDescent="0.25">
      <c r="A4519" s="3" t="s">
        <v>13772</v>
      </c>
      <c r="B4519" s="4" t="s">
        <v>13773</v>
      </c>
      <c r="C4519" s="4" t="s">
        <v>14</v>
      </c>
      <c r="D4519" s="4" t="s">
        <v>15</v>
      </c>
      <c r="E4519" s="5" t="str">
        <f>"9170027"</f>
        <v>9170027</v>
      </c>
      <c r="F4519" s="3" t="s">
        <v>14375</v>
      </c>
      <c r="G4519" s="5">
        <v>2810711207</v>
      </c>
      <c r="H4519" s="4" t="s">
        <v>14376</v>
      </c>
      <c r="I4519" s="4" t="s">
        <v>13972</v>
      </c>
      <c r="J4519" s="4" t="s">
        <v>14103</v>
      </c>
      <c r="K4519" s="4" t="s">
        <v>14103</v>
      </c>
      <c r="L4519" s="5">
        <v>70001</v>
      </c>
    </row>
    <row r="4520" spans="1:12" x14ac:dyDescent="0.25">
      <c r="A4520" s="3" t="s">
        <v>13772</v>
      </c>
      <c r="B4520" s="4" t="s">
        <v>13773</v>
      </c>
      <c r="C4520" s="4" t="s">
        <v>25</v>
      </c>
      <c r="D4520" s="4" t="s">
        <v>26</v>
      </c>
      <c r="E4520" s="5" t="str">
        <f>"9170500"</f>
        <v>9170500</v>
      </c>
      <c r="F4520" s="3" t="s">
        <v>14377</v>
      </c>
      <c r="G4520" s="5">
        <v>2810762149</v>
      </c>
      <c r="H4520" s="4" t="s">
        <v>14378</v>
      </c>
      <c r="I4520" s="4" t="s">
        <v>13794</v>
      </c>
      <c r="J4520" s="4" t="s">
        <v>14272</v>
      </c>
      <c r="K4520" s="4" t="s">
        <v>14272</v>
      </c>
      <c r="L4520" s="5">
        <v>71500</v>
      </c>
    </row>
    <row r="4521" spans="1:12" x14ac:dyDescent="0.25">
      <c r="A4521" s="3" t="s">
        <v>13772</v>
      </c>
      <c r="B4521" s="4" t="s">
        <v>13773</v>
      </c>
      <c r="C4521" s="4" t="s">
        <v>14</v>
      </c>
      <c r="D4521" s="4" t="s">
        <v>15</v>
      </c>
      <c r="E4521" s="5" t="str">
        <f>"9170525"</f>
        <v>9170525</v>
      </c>
      <c r="F4521" s="3" t="s">
        <v>14379</v>
      </c>
      <c r="G4521" s="5">
        <v>2810256547</v>
      </c>
      <c r="H4521" s="4" t="s">
        <v>14380</v>
      </c>
      <c r="I4521" s="4" t="s">
        <v>3193</v>
      </c>
      <c r="J4521" s="4" t="s">
        <v>13779</v>
      </c>
      <c r="K4521" s="4" t="s">
        <v>14381</v>
      </c>
      <c r="L4521" s="5">
        <v>71303</v>
      </c>
    </row>
    <row r="4522" spans="1:12" x14ac:dyDescent="0.25">
      <c r="A4522" s="3" t="s">
        <v>13772</v>
      </c>
      <c r="B4522" s="4" t="s">
        <v>13773</v>
      </c>
      <c r="C4522" s="4" t="s">
        <v>14</v>
      </c>
      <c r="D4522" s="4" t="s">
        <v>15</v>
      </c>
      <c r="E4522" s="5" t="str">
        <f>"9170327"</f>
        <v>9170327</v>
      </c>
      <c r="F4522" s="3" t="s">
        <v>14382</v>
      </c>
      <c r="G4522" s="5">
        <v>2892091234</v>
      </c>
      <c r="H4522" s="4" t="s">
        <v>14383</v>
      </c>
      <c r="I4522" s="4" t="s">
        <v>13931</v>
      </c>
      <c r="J4522" s="4"/>
      <c r="K4522" s="4" t="s">
        <v>14384</v>
      </c>
      <c r="L4522" s="5">
        <v>70200</v>
      </c>
    </row>
    <row r="4523" spans="1:12" x14ac:dyDescent="0.25">
      <c r="A4523" s="3" t="s">
        <v>13772</v>
      </c>
      <c r="B4523" s="4" t="s">
        <v>13773</v>
      </c>
      <c r="C4523" s="4" t="s">
        <v>14</v>
      </c>
      <c r="D4523" s="4" t="s">
        <v>15</v>
      </c>
      <c r="E4523" s="5" t="str">
        <f>"9521092"</f>
        <v>9521092</v>
      </c>
      <c r="F4523" s="3" t="s">
        <v>14385</v>
      </c>
      <c r="G4523" s="5">
        <v>2810313321</v>
      </c>
      <c r="H4523" s="4" t="s">
        <v>14386</v>
      </c>
      <c r="I4523" s="4" t="s">
        <v>3193</v>
      </c>
      <c r="J4523" s="4" t="s">
        <v>13779</v>
      </c>
      <c r="K4523" s="4" t="s">
        <v>14141</v>
      </c>
      <c r="L4523" s="5">
        <v>71305</v>
      </c>
    </row>
    <row r="4524" spans="1:12" x14ac:dyDescent="0.25">
      <c r="A4524" s="3" t="s">
        <v>13772</v>
      </c>
      <c r="B4524" s="4" t="s">
        <v>13773</v>
      </c>
      <c r="C4524" s="4" t="s">
        <v>14</v>
      </c>
      <c r="D4524" s="4" t="s">
        <v>15</v>
      </c>
      <c r="E4524" s="5" t="str">
        <f>"9521091"</f>
        <v>9521091</v>
      </c>
      <c r="F4524" s="3" t="s">
        <v>14387</v>
      </c>
      <c r="G4524" s="5">
        <v>2810370360</v>
      </c>
      <c r="H4524" s="4" t="s">
        <v>14388</v>
      </c>
      <c r="I4524" s="4" t="s">
        <v>13972</v>
      </c>
      <c r="J4524" s="4" t="s">
        <v>14389</v>
      </c>
      <c r="K4524" s="4" t="s">
        <v>14390</v>
      </c>
      <c r="L4524" s="5">
        <v>71414</v>
      </c>
    </row>
    <row r="4525" spans="1:12" x14ac:dyDescent="0.25">
      <c r="A4525" s="3" t="s">
        <v>13772</v>
      </c>
      <c r="B4525" s="4" t="s">
        <v>13773</v>
      </c>
      <c r="C4525" s="4" t="s">
        <v>25</v>
      </c>
      <c r="D4525" s="4" t="s">
        <v>26</v>
      </c>
      <c r="E4525" s="5" t="str">
        <f>"9521128"</f>
        <v>9521128</v>
      </c>
      <c r="F4525" s="3" t="s">
        <v>14391</v>
      </c>
      <c r="G4525" s="5">
        <v>2810310918</v>
      </c>
      <c r="H4525" s="4" t="s">
        <v>14392</v>
      </c>
      <c r="I4525" s="4" t="s">
        <v>3193</v>
      </c>
      <c r="J4525" s="4" t="s">
        <v>3193</v>
      </c>
      <c r="K4525" s="4" t="s">
        <v>14393</v>
      </c>
      <c r="L4525" s="5">
        <v>71304</v>
      </c>
    </row>
    <row r="4526" spans="1:12" x14ac:dyDescent="0.25">
      <c r="A4526" s="3" t="s">
        <v>13772</v>
      </c>
      <c r="B4526" s="4" t="s">
        <v>13773</v>
      </c>
      <c r="C4526" s="4" t="s">
        <v>14</v>
      </c>
      <c r="D4526" s="4" t="s">
        <v>15</v>
      </c>
      <c r="E4526" s="5" t="str">
        <f>"9521093"</f>
        <v>9521093</v>
      </c>
      <c r="F4526" s="3" t="s">
        <v>14394</v>
      </c>
      <c r="G4526" s="5">
        <v>2810322162</v>
      </c>
      <c r="H4526" s="4" t="s">
        <v>14395</v>
      </c>
      <c r="I4526" s="4" t="s">
        <v>3193</v>
      </c>
      <c r="J4526" s="4" t="s">
        <v>3727</v>
      </c>
      <c r="K4526" s="4" t="s">
        <v>14396</v>
      </c>
      <c r="L4526" s="5">
        <v>71409</v>
      </c>
    </row>
    <row r="4527" spans="1:12" x14ac:dyDescent="0.25">
      <c r="A4527" s="3" t="s">
        <v>13772</v>
      </c>
      <c r="B4527" s="4" t="s">
        <v>13773</v>
      </c>
      <c r="C4527" s="4" t="s">
        <v>14</v>
      </c>
      <c r="D4527" s="4" t="s">
        <v>15</v>
      </c>
      <c r="E4527" s="5" t="str">
        <f>"9170126"</f>
        <v>9170126</v>
      </c>
      <c r="F4527" s="3" t="s">
        <v>14397</v>
      </c>
      <c r="G4527" s="5">
        <v>2810871213</v>
      </c>
      <c r="H4527" s="4" t="s">
        <v>14398</v>
      </c>
      <c r="I4527" s="4" t="s">
        <v>3193</v>
      </c>
      <c r="J4527" s="4" t="s">
        <v>14399</v>
      </c>
      <c r="K4527" s="4" t="s">
        <v>14400</v>
      </c>
      <c r="L4527" s="5">
        <v>71500</v>
      </c>
    </row>
    <row r="4528" spans="1:12" x14ac:dyDescent="0.25">
      <c r="A4528" s="3" t="s">
        <v>13772</v>
      </c>
      <c r="B4528" s="4" t="s">
        <v>13773</v>
      </c>
      <c r="C4528" s="4" t="s">
        <v>25</v>
      </c>
      <c r="D4528" s="4" t="s">
        <v>26</v>
      </c>
      <c r="E4528" s="5" t="str">
        <f>"9521246"</f>
        <v>9521246</v>
      </c>
      <c r="F4528" s="3" t="s">
        <v>14401</v>
      </c>
      <c r="G4528" s="5">
        <v>2810311269</v>
      </c>
      <c r="H4528" s="4" t="s">
        <v>14402</v>
      </c>
      <c r="I4528" s="4" t="s">
        <v>3193</v>
      </c>
      <c r="J4528" s="4" t="s">
        <v>14403</v>
      </c>
      <c r="K4528" s="4" t="s">
        <v>14404</v>
      </c>
      <c r="L4528" s="5">
        <v>71305</v>
      </c>
    </row>
    <row r="4529" spans="1:12" x14ac:dyDescent="0.25">
      <c r="A4529" s="3" t="s">
        <v>13772</v>
      </c>
      <c r="B4529" s="4" t="s">
        <v>13773</v>
      </c>
      <c r="C4529" s="4" t="s">
        <v>14</v>
      </c>
      <c r="D4529" s="4" t="s">
        <v>15</v>
      </c>
      <c r="E4529" s="5" t="str">
        <f>"9170319"</f>
        <v>9170319</v>
      </c>
      <c r="F4529" s="3" t="s">
        <v>14405</v>
      </c>
      <c r="G4529" s="5">
        <v>2893022231</v>
      </c>
      <c r="H4529" s="4" t="s">
        <v>14406</v>
      </c>
      <c r="I4529" s="4" t="s">
        <v>13789</v>
      </c>
      <c r="J4529" s="4" t="s">
        <v>14407</v>
      </c>
      <c r="K4529" s="4" t="s">
        <v>14408</v>
      </c>
      <c r="L4529" s="5">
        <v>70010</v>
      </c>
    </row>
    <row r="4530" spans="1:12" x14ac:dyDescent="0.25">
      <c r="A4530" s="3" t="s">
        <v>13772</v>
      </c>
      <c r="B4530" s="4" t="s">
        <v>13773</v>
      </c>
      <c r="C4530" s="4" t="s">
        <v>25</v>
      </c>
      <c r="D4530" s="4" t="s">
        <v>14409</v>
      </c>
      <c r="E4530" s="5" t="str">
        <f>"9521477"</f>
        <v>9521477</v>
      </c>
      <c r="F4530" s="3" t="s">
        <v>14410</v>
      </c>
      <c r="G4530" s="5">
        <v>2810301780</v>
      </c>
      <c r="H4530" s="4" t="s">
        <v>14411</v>
      </c>
      <c r="I4530" s="4" t="s">
        <v>3193</v>
      </c>
      <c r="J4530" s="4" t="s">
        <v>13779</v>
      </c>
      <c r="K4530" s="4" t="s">
        <v>14412</v>
      </c>
      <c r="L4530" s="5">
        <v>71202</v>
      </c>
    </row>
    <row r="4531" spans="1:12" x14ac:dyDescent="0.25">
      <c r="A4531" s="3" t="s">
        <v>13772</v>
      </c>
      <c r="B4531" s="4" t="s">
        <v>13773</v>
      </c>
      <c r="C4531" s="4" t="s">
        <v>14</v>
      </c>
      <c r="D4531" s="4" t="s">
        <v>14413</v>
      </c>
      <c r="E4531" s="5" t="str">
        <f>"9521476"</f>
        <v>9521476</v>
      </c>
      <c r="F4531" s="3" t="s">
        <v>14414</v>
      </c>
      <c r="G4531" s="5">
        <v>2810301780</v>
      </c>
      <c r="H4531" s="4" t="s">
        <v>14415</v>
      </c>
      <c r="I4531" s="4" t="s">
        <v>3193</v>
      </c>
      <c r="J4531" s="4" t="s">
        <v>3193</v>
      </c>
      <c r="K4531" s="4" t="s">
        <v>14412</v>
      </c>
      <c r="L4531" s="5">
        <v>71202</v>
      </c>
    </row>
    <row r="4532" spans="1:12" x14ac:dyDescent="0.25">
      <c r="A4532" s="3" t="s">
        <v>13772</v>
      </c>
      <c r="B4532" s="4" t="s">
        <v>13773</v>
      </c>
      <c r="C4532" s="4" t="s">
        <v>14</v>
      </c>
      <c r="D4532" s="4" t="s">
        <v>15</v>
      </c>
      <c r="E4532" s="5" t="str">
        <f>"9521411"</f>
        <v>9521411</v>
      </c>
      <c r="F4532" s="3" t="s">
        <v>14416</v>
      </c>
      <c r="G4532" s="5">
        <v>2810824954</v>
      </c>
      <c r="H4532" s="4" t="s">
        <v>14417</v>
      </c>
      <c r="I4532" s="4" t="s">
        <v>13972</v>
      </c>
      <c r="J4532" s="4" t="s">
        <v>13973</v>
      </c>
      <c r="K4532" s="4" t="s">
        <v>14369</v>
      </c>
      <c r="L4532" s="5">
        <v>71414</v>
      </c>
    </row>
    <row r="4533" spans="1:12" x14ac:dyDescent="0.25">
      <c r="A4533" s="3" t="s">
        <v>13772</v>
      </c>
      <c r="B4533" s="4" t="s">
        <v>13773</v>
      </c>
      <c r="C4533" s="4" t="s">
        <v>14</v>
      </c>
      <c r="D4533" s="4" t="s">
        <v>15</v>
      </c>
      <c r="E4533" s="5" t="str">
        <f>"9521412"</f>
        <v>9521412</v>
      </c>
      <c r="F4533" s="3" t="s">
        <v>14418</v>
      </c>
      <c r="G4533" s="5">
        <v>2897025680</v>
      </c>
      <c r="H4533" s="4" t="s">
        <v>14419</v>
      </c>
      <c r="I4533" s="4" t="s">
        <v>13794</v>
      </c>
      <c r="J4533" s="4" t="s">
        <v>14420</v>
      </c>
      <c r="K4533" s="4" t="s">
        <v>14421</v>
      </c>
      <c r="L4533" s="5">
        <v>70014</v>
      </c>
    </row>
    <row r="4534" spans="1:12" x14ac:dyDescent="0.25">
      <c r="A4534" s="3" t="s">
        <v>13772</v>
      </c>
      <c r="B4534" s="4" t="s">
        <v>13773</v>
      </c>
      <c r="C4534" s="4" t="s">
        <v>25</v>
      </c>
      <c r="D4534" s="4" t="s">
        <v>26</v>
      </c>
      <c r="E4534" s="5" t="str">
        <f>"9521694"</f>
        <v>9521694</v>
      </c>
      <c r="F4534" s="3" t="s">
        <v>14422</v>
      </c>
      <c r="G4534" s="5">
        <v>2810262562</v>
      </c>
      <c r="H4534" s="4" t="s">
        <v>14423</v>
      </c>
      <c r="I4534" s="4" t="s">
        <v>13972</v>
      </c>
      <c r="J4534" s="4" t="s">
        <v>2485</v>
      </c>
      <c r="K4534" s="4" t="s">
        <v>14424</v>
      </c>
      <c r="L4534" s="5"/>
    </row>
    <row r="4535" spans="1:12" x14ac:dyDescent="0.25">
      <c r="A4535" s="3" t="s">
        <v>13772</v>
      </c>
      <c r="B4535" s="4" t="s">
        <v>14425</v>
      </c>
      <c r="C4535" s="4" t="s">
        <v>25</v>
      </c>
      <c r="D4535" s="4" t="s">
        <v>26</v>
      </c>
      <c r="E4535" s="5" t="str">
        <f>"9320041"</f>
        <v>9320041</v>
      </c>
      <c r="F4535" s="3" t="s">
        <v>14426</v>
      </c>
      <c r="G4535" s="5">
        <v>2844031900</v>
      </c>
      <c r="H4535" s="4" t="s">
        <v>14427</v>
      </c>
      <c r="I4535" s="4" t="s">
        <v>14428</v>
      </c>
      <c r="J4535" s="4" t="s">
        <v>14429</v>
      </c>
      <c r="K4535" s="4" t="s">
        <v>14429</v>
      </c>
      <c r="L4535" s="5">
        <v>72052</v>
      </c>
    </row>
    <row r="4536" spans="1:12" x14ac:dyDescent="0.25">
      <c r="A4536" s="3" t="s">
        <v>13772</v>
      </c>
      <c r="B4536" s="4" t="s">
        <v>14425</v>
      </c>
      <c r="C4536" s="4" t="s">
        <v>25</v>
      </c>
      <c r="D4536" s="4" t="s">
        <v>26</v>
      </c>
      <c r="E4536" s="5" t="str">
        <f>"9320203"</f>
        <v>9320203</v>
      </c>
      <c r="F4536" s="3" t="s">
        <v>14430</v>
      </c>
      <c r="G4536" s="5">
        <v>2843052423</v>
      </c>
      <c r="H4536" s="4" t="s">
        <v>14431</v>
      </c>
      <c r="I4536" s="4" t="s">
        <v>14432</v>
      </c>
      <c r="J4536" s="4" t="s">
        <v>14433</v>
      </c>
      <c r="K4536" s="4" t="s">
        <v>14434</v>
      </c>
      <c r="L4536" s="5">
        <v>72055</v>
      </c>
    </row>
    <row r="4537" spans="1:12" x14ac:dyDescent="0.25">
      <c r="A4537" s="3" t="s">
        <v>13772</v>
      </c>
      <c r="B4537" s="4" t="s">
        <v>14425</v>
      </c>
      <c r="C4537" s="4" t="s">
        <v>25</v>
      </c>
      <c r="D4537" s="4" t="s">
        <v>26</v>
      </c>
      <c r="E4537" s="5" t="str">
        <f>"9320057"</f>
        <v>9320057</v>
      </c>
      <c r="F4537" s="3" t="s">
        <v>14435</v>
      </c>
      <c r="G4537" s="5">
        <v>2841022111</v>
      </c>
      <c r="H4537" s="4" t="s">
        <v>14436</v>
      </c>
      <c r="I4537" s="4" t="s">
        <v>654</v>
      </c>
      <c r="J4537" s="4" t="s">
        <v>13560</v>
      </c>
      <c r="K4537" s="4" t="s">
        <v>14437</v>
      </c>
      <c r="L4537" s="5">
        <v>72100</v>
      </c>
    </row>
    <row r="4538" spans="1:12" x14ac:dyDescent="0.25">
      <c r="A4538" s="3" t="s">
        <v>13772</v>
      </c>
      <c r="B4538" s="4" t="s">
        <v>14425</v>
      </c>
      <c r="C4538" s="4" t="s">
        <v>25</v>
      </c>
      <c r="D4538" s="4" t="s">
        <v>26</v>
      </c>
      <c r="E4538" s="5" t="str">
        <f>"9320056"</f>
        <v>9320056</v>
      </c>
      <c r="F4538" s="3" t="s">
        <v>14438</v>
      </c>
      <c r="G4538" s="5">
        <v>2841028260</v>
      </c>
      <c r="H4538" s="4" t="s">
        <v>14439</v>
      </c>
      <c r="I4538" s="4" t="s">
        <v>654</v>
      </c>
      <c r="J4538" s="4" t="s">
        <v>13560</v>
      </c>
      <c r="K4538" s="4" t="s">
        <v>14440</v>
      </c>
      <c r="L4538" s="5">
        <v>72100</v>
      </c>
    </row>
    <row r="4539" spans="1:12" x14ac:dyDescent="0.25">
      <c r="A4539" s="3" t="s">
        <v>13772</v>
      </c>
      <c r="B4539" s="4" t="s">
        <v>14425</v>
      </c>
      <c r="C4539" s="4" t="s">
        <v>14</v>
      </c>
      <c r="D4539" s="4" t="s">
        <v>15</v>
      </c>
      <c r="E4539" s="5" t="str">
        <f>"9320138"</f>
        <v>9320138</v>
      </c>
      <c r="F4539" s="3" t="s">
        <v>14441</v>
      </c>
      <c r="G4539" s="5">
        <v>2841305011</v>
      </c>
      <c r="H4539" s="4" t="s">
        <v>14442</v>
      </c>
      <c r="I4539" s="4" t="s">
        <v>654</v>
      </c>
      <c r="J4539" s="4" t="s">
        <v>13560</v>
      </c>
      <c r="K4539" s="4" t="s">
        <v>14443</v>
      </c>
      <c r="L4539" s="5">
        <v>72100</v>
      </c>
    </row>
    <row r="4540" spans="1:12" x14ac:dyDescent="0.25">
      <c r="A4540" s="3" t="s">
        <v>13772</v>
      </c>
      <c r="B4540" s="4" t="s">
        <v>14425</v>
      </c>
      <c r="C4540" s="4" t="s">
        <v>14</v>
      </c>
      <c r="D4540" s="4" t="s">
        <v>15</v>
      </c>
      <c r="E4540" s="5" t="str">
        <f>"9320205"</f>
        <v>9320205</v>
      </c>
      <c r="F4540" s="3" t="s">
        <v>14444</v>
      </c>
      <c r="G4540" s="5">
        <v>2843305041</v>
      </c>
      <c r="H4540" s="4" t="s">
        <v>14445</v>
      </c>
      <c r="I4540" s="4" t="s">
        <v>14446</v>
      </c>
      <c r="J4540" s="4" t="s">
        <v>14447</v>
      </c>
      <c r="K4540" s="4" t="s">
        <v>14448</v>
      </c>
      <c r="L4540" s="5">
        <v>72300</v>
      </c>
    </row>
    <row r="4541" spans="1:12" x14ac:dyDescent="0.25">
      <c r="A4541" s="3" t="s">
        <v>13772</v>
      </c>
      <c r="B4541" s="4" t="s">
        <v>14425</v>
      </c>
      <c r="C4541" s="4" t="s">
        <v>25</v>
      </c>
      <c r="D4541" s="4" t="s">
        <v>26</v>
      </c>
      <c r="E4541" s="5" t="str">
        <f>"9320147"</f>
        <v>9320147</v>
      </c>
      <c r="F4541" s="3" t="s">
        <v>14449</v>
      </c>
      <c r="G4541" s="5">
        <v>2843305060</v>
      </c>
      <c r="H4541" s="4" t="s">
        <v>14450</v>
      </c>
      <c r="I4541" s="4" t="s">
        <v>14446</v>
      </c>
      <c r="J4541" s="4" t="s">
        <v>14451</v>
      </c>
      <c r="K4541" s="4" t="s">
        <v>14452</v>
      </c>
      <c r="L4541" s="5">
        <v>72300</v>
      </c>
    </row>
    <row r="4542" spans="1:12" x14ac:dyDescent="0.25">
      <c r="A4542" s="3" t="s">
        <v>13772</v>
      </c>
      <c r="B4542" s="4" t="s">
        <v>14425</v>
      </c>
      <c r="C4542" s="4" t="s">
        <v>14</v>
      </c>
      <c r="D4542" s="4" t="s">
        <v>15</v>
      </c>
      <c r="E4542" s="5" t="str">
        <f>"9320055"</f>
        <v>9320055</v>
      </c>
      <c r="F4542" s="3" t="s">
        <v>14453</v>
      </c>
      <c r="G4542" s="5">
        <v>2841022326</v>
      </c>
      <c r="H4542" s="4" t="s">
        <v>14454</v>
      </c>
      <c r="I4542" s="4" t="s">
        <v>654</v>
      </c>
      <c r="J4542" s="4" t="s">
        <v>13560</v>
      </c>
      <c r="K4542" s="4" t="s">
        <v>14455</v>
      </c>
      <c r="L4542" s="5">
        <v>72100</v>
      </c>
    </row>
    <row r="4543" spans="1:12" x14ac:dyDescent="0.25">
      <c r="A4543" s="3" t="s">
        <v>13772</v>
      </c>
      <c r="B4543" s="4" t="s">
        <v>14425</v>
      </c>
      <c r="C4543" s="4" t="s">
        <v>14</v>
      </c>
      <c r="D4543" s="4" t="s">
        <v>15</v>
      </c>
      <c r="E4543" s="5" t="str">
        <f>"9320042"</f>
        <v>9320042</v>
      </c>
      <c r="F4543" s="3" t="s">
        <v>14456</v>
      </c>
      <c r="G4543" s="5">
        <v>2844031250</v>
      </c>
      <c r="H4543" s="4" t="s">
        <v>14457</v>
      </c>
      <c r="I4543" s="4" t="s">
        <v>14428</v>
      </c>
      <c r="J4543" s="4" t="s">
        <v>12673</v>
      </c>
      <c r="K4543" s="4" t="s">
        <v>14458</v>
      </c>
      <c r="L4543" s="5">
        <v>72052</v>
      </c>
    </row>
    <row r="4544" spans="1:12" x14ac:dyDescent="0.25">
      <c r="A4544" s="3" t="s">
        <v>13772</v>
      </c>
      <c r="B4544" s="4" t="s">
        <v>14425</v>
      </c>
      <c r="C4544" s="4" t="s">
        <v>25</v>
      </c>
      <c r="D4544" s="4" t="s">
        <v>26</v>
      </c>
      <c r="E4544" s="5" t="str">
        <f>"9320139"</f>
        <v>9320139</v>
      </c>
      <c r="F4544" s="3" t="s">
        <v>14459</v>
      </c>
      <c r="G4544" s="5">
        <v>2841024219</v>
      </c>
      <c r="H4544" s="4" t="s">
        <v>14460</v>
      </c>
      <c r="I4544" s="4" t="s">
        <v>654</v>
      </c>
      <c r="J4544" s="4" t="s">
        <v>13560</v>
      </c>
      <c r="K4544" s="4" t="s">
        <v>14461</v>
      </c>
      <c r="L4544" s="5">
        <v>72100</v>
      </c>
    </row>
    <row r="4545" spans="1:12" x14ac:dyDescent="0.25">
      <c r="A4545" s="3" t="s">
        <v>13772</v>
      </c>
      <c r="B4545" s="4" t="s">
        <v>14425</v>
      </c>
      <c r="C4545" s="4" t="s">
        <v>25</v>
      </c>
      <c r="D4545" s="4" t="s">
        <v>26</v>
      </c>
      <c r="E4545" s="5" t="str">
        <f>"9520762"</f>
        <v>9520762</v>
      </c>
      <c r="F4545" s="3" t="s">
        <v>14462</v>
      </c>
      <c r="G4545" s="5">
        <v>2841024447</v>
      </c>
      <c r="H4545" s="4" t="s">
        <v>14463</v>
      </c>
      <c r="I4545" s="4" t="s">
        <v>654</v>
      </c>
      <c r="J4545" s="4" t="s">
        <v>13560</v>
      </c>
      <c r="K4545" s="4" t="s">
        <v>14464</v>
      </c>
      <c r="L4545" s="5">
        <v>72100</v>
      </c>
    </row>
    <row r="4546" spans="1:12" x14ac:dyDescent="0.25">
      <c r="A4546" s="3" t="s">
        <v>13772</v>
      </c>
      <c r="B4546" s="4" t="s">
        <v>14425</v>
      </c>
      <c r="C4546" s="4" t="s">
        <v>25</v>
      </c>
      <c r="D4546" s="4" t="s">
        <v>26</v>
      </c>
      <c r="E4546" s="5" t="str">
        <f>"9320062"</f>
        <v>9320062</v>
      </c>
      <c r="F4546" s="3" t="s">
        <v>14465</v>
      </c>
      <c r="G4546" s="5">
        <v>2841032366</v>
      </c>
      <c r="H4546" s="4" t="s">
        <v>14466</v>
      </c>
      <c r="I4546" s="4" t="s">
        <v>654</v>
      </c>
      <c r="J4546" s="4" t="s">
        <v>746</v>
      </c>
      <c r="K4546" s="4" t="s">
        <v>14467</v>
      </c>
      <c r="L4546" s="5">
        <v>72400</v>
      </c>
    </row>
    <row r="4547" spans="1:12" x14ac:dyDescent="0.25">
      <c r="A4547" s="3" t="s">
        <v>13772</v>
      </c>
      <c r="B4547" s="4" t="s">
        <v>14425</v>
      </c>
      <c r="C4547" s="4" t="s">
        <v>14</v>
      </c>
      <c r="D4547" s="4" t="s">
        <v>15</v>
      </c>
      <c r="E4547" s="5" t="str">
        <f>"9320210"</f>
        <v>9320210</v>
      </c>
      <c r="F4547" s="3" t="s">
        <v>14468</v>
      </c>
      <c r="G4547" s="5">
        <v>2841026705</v>
      </c>
      <c r="H4547" s="4" t="s">
        <v>14469</v>
      </c>
      <c r="I4547" s="4" t="s">
        <v>654</v>
      </c>
      <c r="J4547" s="4" t="s">
        <v>13560</v>
      </c>
      <c r="K4547" s="4" t="s">
        <v>14470</v>
      </c>
      <c r="L4547" s="5">
        <v>72100</v>
      </c>
    </row>
    <row r="4548" spans="1:12" x14ac:dyDescent="0.25">
      <c r="A4548" s="3" t="s">
        <v>13772</v>
      </c>
      <c r="B4548" s="4" t="s">
        <v>14425</v>
      </c>
      <c r="C4548" s="4" t="s">
        <v>14</v>
      </c>
      <c r="D4548" s="4" t="s">
        <v>15</v>
      </c>
      <c r="E4548" s="5" t="str">
        <f>"9320058"</f>
        <v>9320058</v>
      </c>
      <c r="F4548" s="3" t="s">
        <v>14471</v>
      </c>
      <c r="G4548" s="5">
        <v>2841022496</v>
      </c>
      <c r="H4548" s="4" t="s">
        <v>14472</v>
      </c>
      <c r="I4548" s="4" t="s">
        <v>654</v>
      </c>
      <c r="J4548" s="4" t="s">
        <v>13560</v>
      </c>
      <c r="K4548" s="4" t="s">
        <v>14473</v>
      </c>
      <c r="L4548" s="5">
        <v>72100</v>
      </c>
    </row>
    <row r="4549" spans="1:12" x14ac:dyDescent="0.25">
      <c r="A4549" s="3" t="s">
        <v>13772</v>
      </c>
      <c r="B4549" s="4" t="s">
        <v>14425</v>
      </c>
      <c r="C4549" s="4" t="s">
        <v>25</v>
      </c>
      <c r="D4549" s="4" t="s">
        <v>26</v>
      </c>
      <c r="E4549" s="5" t="str">
        <f>"9320007"</f>
        <v>9320007</v>
      </c>
      <c r="F4549" s="3" t="s">
        <v>14474</v>
      </c>
      <c r="G4549" s="5">
        <v>2842305017</v>
      </c>
      <c r="H4549" s="4" t="s">
        <v>14475</v>
      </c>
      <c r="I4549" s="4" t="s">
        <v>14432</v>
      </c>
      <c r="J4549" s="4" t="s">
        <v>14476</v>
      </c>
      <c r="K4549" s="4" t="s">
        <v>14477</v>
      </c>
      <c r="L4549" s="5">
        <v>72200</v>
      </c>
    </row>
    <row r="4550" spans="1:12" ht="30" x14ac:dyDescent="0.25">
      <c r="A4550" s="3" t="s">
        <v>13772</v>
      </c>
      <c r="B4550" s="4" t="s">
        <v>14425</v>
      </c>
      <c r="C4550" s="4" t="s">
        <v>25</v>
      </c>
      <c r="D4550" s="4" t="s">
        <v>26</v>
      </c>
      <c r="E4550" s="5" t="str">
        <f>"9320208"</f>
        <v>9320208</v>
      </c>
      <c r="F4550" s="3" t="s">
        <v>14478</v>
      </c>
      <c r="G4550" s="5">
        <v>2843022705</v>
      </c>
      <c r="H4550" s="4" t="s">
        <v>14479</v>
      </c>
      <c r="I4550" s="4" t="s">
        <v>14446</v>
      </c>
      <c r="J4550" s="4" t="s">
        <v>14447</v>
      </c>
      <c r="K4550" s="4" t="s">
        <v>14480</v>
      </c>
      <c r="L4550" s="5">
        <v>72300</v>
      </c>
    </row>
    <row r="4551" spans="1:12" x14ac:dyDescent="0.25">
      <c r="A4551" s="3" t="s">
        <v>13772</v>
      </c>
      <c r="B4551" s="4" t="s">
        <v>14425</v>
      </c>
      <c r="C4551" s="4" t="s">
        <v>25</v>
      </c>
      <c r="D4551" s="4" t="s">
        <v>26</v>
      </c>
      <c r="E4551" s="5" t="str">
        <f>"9320078"</f>
        <v>9320078</v>
      </c>
      <c r="F4551" s="3" t="s">
        <v>14481</v>
      </c>
      <c r="G4551" s="5">
        <v>2841305009</v>
      </c>
      <c r="H4551" s="4" t="s">
        <v>14482</v>
      </c>
      <c r="I4551" s="4" t="s">
        <v>654</v>
      </c>
      <c r="J4551" s="4" t="s">
        <v>13560</v>
      </c>
      <c r="K4551" s="4" t="s">
        <v>14483</v>
      </c>
      <c r="L4551" s="5">
        <v>72051</v>
      </c>
    </row>
    <row r="4552" spans="1:12" x14ac:dyDescent="0.25">
      <c r="A4552" s="3" t="s">
        <v>13772</v>
      </c>
      <c r="B4552" s="4" t="s">
        <v>14425</v>
      </c>
      <c r="C4552" s="4" t="s">
        <v>14</v>
      </c>
      <c r="D4552" s="4" t="s">
        <v>15</v>
      </c>
      <c r="E4552" s="5" t="str">
        <f>"9320093"</f>
        <v>9320093</v>
      </c>
      <c r="F4552" s="3" t="s">
        <v>14484</v>
      </c>
      <c r="G4552" s="5">
        <v>2843305004</v>
      </c>
      <c r="H4552" s="4" t="s">
        <v>14485</v>
      </c>
      <c r="I4552" s="4" t="s">
        <v>14446</v>
      </c>
      <c r="J4552" s="4" t="s">
        <v>14447</v>
      </c>
      <c r="K4552" s="4" t="s">
        <v>14486</v>
      </c>
      <c r="L4552" s="5">
        <v>72300</v>
      </c>
    </row>
    <row r="4553" spans="1:12" x14ac:dyDescent="0.25">
      <c r="A4553" s="3" t="s">
        <v>13772</v>
      </c>
      <c r="B4553" s="4" t="s">
        <v>14425</v>
      </c>
      <c r="C4553" s="4" t="s">
        <v>25</v>
      </c>
      <c r="D4553" s="4" t="s">
        <v>26</v>
      </c>
      <c r="E4553" s="5" t="str">
        <f>"9320222"</f>
        <v>9320222</v>
      </c>
      <c r="F4553" s="3" t="s">
        <v>14487</v>
      </c>
      <c r="G4553" s="5">
        <v>2841305015</v>
      </c>
      <c r="H4553" s="4" t="s">
        <v>14488</v>
      </c>
      <c r="I4553" s="4" t="s">
        <v>654</v>
      </c>
      <c r="J4553" s="4" t="s">
        <v>13560</v>
      </c>
      <c r="K4553" s="4" t="s">
        <v>12033</v>
      </c>
      <c r="L4553" s="5">
        <v>72100</v>
      </c>
    </row>
    <row r="4554" spans="1:12" x14ac:dyDescent="0.25">
      <c r="A4554" s="3" t="s">
        <v>13772</v>
      </c>
      <c r="B4554" s="4" t="s">
        <v>14425</v>
      </c>
      <c r="C4554" s="4" t="s">
        <v>14</v>
      </c>
      <c r="D4554" s="4" t="s">
        <v>15</v>
      </c>
      <c r="E4554" s="5" t="str">
        <f>"9320127"</f>
        <v>9320127</v>
      </c>
      <c r="F4554" s="3" t="s">
        <v>14489</v>
      </c>
      <c r="G4554" s="5">
        <v>2842305012</v>
      </c>
      <c r="H4554" s="4" t="s">
        <v>14490</v>
      </c>
      <c r="I4554" s="4" t="s">
        <v>14432</v>
      </c>
      <c r="J4554" s="4" t="s">
        <v>14434</v>
      </c>
      <c r="K4554" s="4" t="s">
        <v>14434</v>
      </c>
      <c r="L4554" s="5">
        <v>72055</v>
      </c>
    </row>
    <row r="4555" spans="1:12" x14ac:dyDescent="0.25">
      <c r="A4555" s="3" t="s">
        <v>13772</v>
      </c>
      <c r="B4555" s="4" t="s">
        <v>14425</v>
      </c>
      <c r="C4555" s="4" t="s">
        <v>14</v>
      </c>
      <c r="D4555" s="4" t="s">
        <v>15</v>
      </c>
      <c r="E4555" s="5" t="str">
        <f>"9320145"</f>
        <v>9320145</v>
      </c>
      <c r="F4555" s="3" t="s">
        <v>14491</v>
      </c>
      <c r="G4555" s="5">
        <v>2841305004</v>
      </c>
      <c r="H4555" s="4" t="s">
        <v>14492</v>
      </c>
      <c r="I4555" s="4" t="s">
        <v>654</v>
      </c>
      <c r="J4555" s="4" t="s">
        <v>14493</v>
      </c>
      <c r="K4555" s="4" t="s">
        <v>14494</v>
      </c>
      <c r="L4555" s="5">
        <v>72400</v>
      </c>
    </row>
    <row r="4556" spans="1:12" x14ac:dyDescent="0.25">
      <c r="A4556" s="3" t="s">
        <v>13772</v>
      </c>
      <c r="B4556" s="4" t="s">
        <v>14425</v>
      </c>
      <c r="C4556" s="4" t="s">
        <v>14</v>
      </c>
      <c r="D4556" s="4" t="s">
        <v>15</v>
      </c>
      <c r="E4556" s="5" t="str">
        <f>"9320098"</f>
        <v>9320098</v>
      </c>
      <c r="F4556" s="3" t="s">
        <v>14495</v>
      </c>
      <c r="G4556" s="5">
        <v>2842305014</v>
      </c>
      <c r="H4556" s="4" t="s">
        <v>14496</v>
      </c>
      <c r="I4556" s="4" t="s">
        <v>14432</v>
      </c>
      <c r="J4556" s="4" t="s">
        <v>14497</v>
      </c>
      <c r="K4556" s="4" t="s">
        <v>14497</v>
      </c>
      <c r="L4556" s="5">
        <v>72055</v>
      </c>
    </row>
    <row r="4557" spans="1:12" x14ac:dyDescent="0.25">
      <c r="A4557" s="3" t="s">
        <v>13772</v>
      </c>
      <c r="B4557" s="4" t="s">
        <v>14425</v>
      </c>
      <c r="C4557" s="4" t="s">
        <v>25</v>
      </c>
      <c r="D4557" s="4" t="s">
        <v>26</v>
      </c>
      <c r="E4557" s="5" t="str">
        <f>"9320061"</f>
        <v>9320061</v>
      </c>
      <c r="F4557" s="3" t="s">
        <v>14498</v>
      </c>
      <c r="G4557" s="5">
        <v>2841032482</v>
      </c>
      <c r="H4557" s="4" t="s">
        <v>14499</v>
      </c>
      <c r="I4557" s="4" t="s">
        <v>654</v>
      </c>
      <c r="J4557" s="4" t="s">
        <v>746</v>
      </c>
      <c r="K4557" s="4" t="s">
        <v>14500</v>
      </c>
      <c r="L4557" s="5">
        <v>72400</v>
      </c>
    </row>
    <row r="4558" spans="1:12" x14ac:dyDescent="0.25">
      <c r="A4558" s="3" t="s">
        <v>13772</v>
      </c>
      <c r="B4558" s="4" t="s">
        <v>14425</v>
      </c>
      <c r="C4558" s="4" t="s">
        <v>14</v>
      </c>
      <c r="D4558" s="4" t="s">
        <v>15</v>
      </c>
      <c r="E4558" s="5" t="str">
        <f>"9320090"</f>
        <v>9320090</v>
      </c>
      <c r="F4558" s="3" t="s">
        <v>14501</v>
      </c>
      <c r="G4558" s="5">
        <v>2843022385</v>
      </c>
      <c r="H4558" s="4" t="s">
        <v>14502</v>
      </c>
      <c r="I4558" s="4" t="s">
        <v>14446</v>
      </c>
      <c r="J4558" s="4" t="s">
        <v>14447</v>
      </c>
      <c r="K4558" s="4" t="s">
        <v>14503</v>
      </c>
      <c r="L4558" s="5">
        <v>72300</v>
      </c>
    </row>
    <row r="4559" spans="1:12" x14ac:dyDescent="0.25">
      <c r="A4559" s="3" t="s">
        <v>13772</v>
      </c>
      <c r="B4559" s="4" t="s">
        <v>14425</v>
      </c>
      <c r="C4559" s="4" t="s">
        <v>14</v>
      </c>
      <c r="D4559" s="4" t="s">
        <v>15</v>
      </c>
      <c r="E4559" s="5" t="str">
        <f>"9520629"</f>
        <v>9520629</v>
      </c>
      <c r="F4559" s="3" t="s">
        <v>14504</v>
      </c>
      <c r="G4559" s="5">
        <v>2843305014</v>
      </c>
      <c r="H4559" s="4" t="s">
        <v>14505</v>
      </c>
      <c r="I4559" s="4" t="s">
        <v>14446</v>
      </c>
      <c r="J4559" s="4" t="s">
        <v>14447</v>
      </c>
      <c r="K4559" s="4" t="s">
        <v>14506</v>
      </c>
      <c r="L4559" s="5">
        <v>72300</v>
      </c>
    </row>
    <row r="4560" spans="1:12" x14ac:dyDescent="0.25">
      <c r="A4560" s="3" t="s">
        <v>13772</v>
      </c>
      <c r="B4560" s="4" t="s">
        <v>14425</v>
      </c>
      <c r="C4560" s="4" t="s">
        <v>25</v>
      </c>
      <c r="D4560" s="4" t="s">
        <v>26</v>
      </c>
      <c r="E4560" s="5" t="str">
        <f>"9320161"</f>
        <v>9320161</v>
      </c>
      <c r="F4560" s="3" t="s">
        <v>14507</v>
      </c>
      <c r="G4560" s="5">
        <v>2841028686</v>
      </c>
      <c r="H4560" s="4" t="s">
        <v>14508</v>
      </c>
      <c r="I4560" s="4" t="s">
        <v>654</v>
      </c>
      <c r="J4560" s="4" t="s">
        <v>13560</v>
      </c>
      <c r="K4560" s="4" t="s">
        <v>14509</v>
      </c>
      <c r="L4560" s="5">
        <v>72100</v>
      </c>
    </row>
    <row r="4561" spans="1:12" x14ac:dyDescent="0.25">
      <c r="A4561" s="3" t="s">
        <v>13772</v>
      </c>
      <c r="B4561" s="4" t="s">
        <v>14425</v>
      </c>
      <c r="C4561" s="4" t="s">
        <v>14</v>
      </c>
      <c r="D4561" s="4" t="s">
        <v>15</v>
      </c>
      <c r="E4561" s="5" t="str">
        <f>"9320115"</f>
        <v>9320115</v>
      </c>
      <c r="F4561" s="3" t="s">
        <v>14510</v>
      </c>
      <c r="G4561" s="5">
        <v>2843305030</v>
      </c>
      <c r="H4561" s="4" t="s">
        <v>14511</v>
      </c>
      <c r="I4561" s="4" t="s">
        <v>14446</v>
      </c>
      <c r="J4561" s="4" t="s">
        <v>14447</v>
      </c>
      <c r="K4561" s="4" t="s">
        <v>14512</v>
      </c>
      <c r="L4561" s="5">
        <v>72300</v>
      </c>
    </row>
    <row r="4562" spans="1:12" x14ac:dyDescent="0.25">
      <c r="A4562" s="3" t="s">
        <v>13772</v>
      </c>
      <c r="B4562" s="4" t="s">
        <v>14425</v>
      </c>
      <c r="C4562" s="4" t="s">
        <v>14</v>
      </c>
      <c r="D4562" s="4" t="s">
        <v>15</v>
      </c>
      <c r="E4562" s="5" t="str">
        <f>"9320079"</f>
        <v>9320079</v>
      </c>
      <c r="F4562" s="3" t="s">
        <v>14513</v>
      </c>
      <c r="G4562" s="5">
        <v>2841051211</v>
      </c>
      <c r="H4562" s="4" t="s">
        <v>14514</v>
      </c>
      <c r="I4562" s="4" t="s">
        <v>654</v>
      </c>
      <c r="J4562" s="4" t="s">
        <v>13560</v>
      </c>
      <c r="K4562" s="4" t="s">
        <v>14515</v>
      </c>
      <c r="L4562" s="5">
        <v>72051</v>
      </c>
    </row>
    <row r="4563" spans="1:12" x14ac:dyDescent="0.25">
      <c r="A4563" s="3" t="s">
        <v>13772</v>
      </c>
      <c r="B4563" s="4" t="s">
        <v>14425</v>
      </c>
      <c r="C4563" s="4" t="s">
        <v>25</v>
      </c>
      <c r="D4563" s="4" t="s">
        <v>26</v>
      </c>
      <c r="E4563" s="5" t="str">
        <f>"9320141"</f>
        <v>9320141</v>
      </c>
      <c r="F4563" s="3" t="s">
        <v>14516</v>
      </c>
      <c r="G4563" s="5">
        <v>2841305023</v>
      </c>
      <c r="H4563" s="4" t="s">
        <v>14517</v>
      </c>
      <c r="I4563" s="4" t="s">
        <v>654</v>
      </c>
      <c r="J4563" s="4" t="s">
        <v>14518</v>
      </c>
      <c r="K4563" s="4" t="s">
        <v>14519</v>
      </c>
      <c r="L4563" s="5">
        <v>72053</v>
      </c>
    </row>
    <row r="4564" spans="1:12" x14ac:dyDescent="0.25">
      <c r="A4564" s="3" t="s">
        <v>13772</v>
      </c>
      <c r="B4564" s="4" t="s">
        <v>14425</v>
      </c>
      <c r="C4564" s="4" t="s">
        <v>25</v>
      </c>
      <c r="D4564" s="4" t="s">
        <v>26</v>
      </c>
      <c r="E4564" s="5" t="str">
        <f>"9320004"</f>
        <v>9320004</v>
      </c>
      <c r="F4564" s="3" t="s">
        <v>14520</v>
      </c>
      <c r="G4564" s="5">
        <v>2842305009</v>
      </c>
      <c r="H4564" s="4" t="s">
        <v>14521</v>
      </c>
      <c r="I4564" s="4" t="s">
        <v>14432</v>
      </c>
      <c r="J4564" s="4" t="s">
        <v>14433</v>
      </c>
      <c r="K4564" s="4" t="s">
        <v>14522</v>
      </c>
      <c r="L4564" s="5">
        <v>72200</v>
      </c>
    </row>
    <row r="4565" spans="1:12" x14ac:dyDescent="0.25">
      <c r="A4565" s="3" t="s">
        <v>13772</v>
      </c>
      <c r="B4565" s="4" t="s">
        <v>14425</v>
      </c>
      <c r="C4565" s="4" t="s">
        <v>14</v>
      </c>
      <c r="D4565" s="4" t="s">
        <v>15</v>
      </c>
      <c r="E4565" s="5" t="str">
        <f>"9320012"</f>
        <v>9320012</v>
      </c>
      <c r="F4565" s="3" t="s">
        <v>14523</v>
      </c>
      <c r="G4565" s="5">
        <v>2842041253</v>
      </c>
      <c r="H4565" s="4" t="s">
        <v>14524</v>
      </c>
      <c r="I4565" s="4" t="s">
        <v>14432</v>
      </c>
      <c r="J4565" s="4" t="s">
        <v>14525</v>
      </c>
      <c r="K4565" s="4" t="s">
        <v>14526</v>
      </c>
      <c r="L4565" s="5">
        <v>72200</v>
      </c>
    </row>
    <row r="4566" spans="1:12" x14ac:dyDescent="0.25">
      <c r="A4566" s="3" t="s">
        <v>13772</v>
      </c>
      <c r="B4566" s="4" t="s">
        <v>14425</v>
      </c>
      <c r="C4566" s="4" t="s">
        <v>14</v>
      </c>
      <c r="D4566" s="4" t="s">
        <v>15</v>
      </c>
      <c r="E4566" s="5" t="str">
        <f>"9320003"</f>
        <v>9320003</v>
      </c>
      <c r="F4566" s="3" t="s">
        <v>14527</v>
      </c>
      <c r="G4566" s="5">
        <v>2842089830</v>
      </c>
      <c r="H4566" s="4" t="s">
        <v>14528</v>
      </c>
      <c r="I4566" s="4" t="s">
        <v>14432</v>
      </c>
      <c r="J4566" s="4" t="s">
        <v>14433</v>
      </c>
      <c r="K4566" s="4" t="s">
        <v>14529</v>
      </c>
      <c r="L4566" s="5">
        <v>72200</v>
      </c>
    </row>
    <row r="4567" spans="1:12" x14ac:dyDescent="0.25">
      <c r="A4567" s="3" t="s">
        <v>13772</v>
      </c>
      <c r="B4567" s="4" t="s">
        <v>14425</v>
      </c>
      <c r="C4567" s="4" t="s">
        <v>14</v>
      </c>
      <c r="D4567" s="4" t="s">
        <v>830</v>
      </c>
      <c r="E4567" s="5" t="str">
        <f>"9320005"</f>
        <v>9320005</v>
      </c>
      <c r="F4567" s="3" t="s">
        <v>14530</v>
      </c>
      <c r="G4567" s="5">
        <v>2842305080</v>
      </c>
      <c r="H4567" s="4" t="s">
        <v>14531</v>
      </c>
      <c r="I4567" s="4" t="s">
        <v>14432</v>
      </c>
      <c r="J4567" s="4" t="s">
        <v>14433</v>
      </c>
      <c r="K4567" s="4" t="s">
        <v>14532</v>
      </c>
      <c r="L4567" s="5">
        <v>72200</v>
      </c>
    </row>
    <row r="4568" spans="1:12" x14ac:dyDescent="0.25">
      <c r="A4568" s="3" t="s">
        <v>13772</v>
      </c>
      <c r="B4568" s="4" t="s">
        <v>14425</v>
      </c>
      <c r="C4568" s="4" t="s">
        <v>14</v>
      </c>
      <c r="D4568" s="4" t="s">
        <v>15</v>
      </c>
      <c r="E4568" s="5" t="str">
        <f>"9320006"</f>
        <v>9320006</v>
      </c>
      <c r="F4568" s="3" t="s">
        <v>14533</v>
      </c>
      <c r="G4568" s="5">
        <v>2842022359</v>
      </c>
      <c r="H4568" s="4" t="s">
        <v>14534</v>
      </c>
      <c r="I4568" s="4" t="s">
        <v>14432</v>
      </c>
      <c r="J4568" s="4" t="s">
        <v>14433</v>
      </c>
      <c r="K4568" s="4" t="s">
        <v>14535</v>
      </c>
      <c r="L4568" s="5">
        <v>72200</v>
      </c>
    </row>
    <row r="4569" spans="1:12" x14ac:dyDescent="0.25">
      <c r="A4569" s="3" t="s">
        <v>13772</v>
      </c>
      <c r="B4569" s="4" t="s">
        <v>14425</v>
      </c>
      <c r="C4569" s="4" t="s">
        <v>14</v>
      </c>
      <c r="D4569" s="4" t="s">
        <v>15</v>
      </c>
      <c r="E4569" s="5" t="str">
        <f>"9320163"</f>
        <v>9320163</v>
      </c>
      <c r="F4569" s="3" t="s">
        <v>14536</v>
      </c>
      <c r="G4569" s="5">
        <v>2842024595</v>
      </c>
      <c r="H4569" s="4" t="s">
        <v>14537</v>
      </c>
      <c r="I4569" s="4" t="s">
        <v>14432</v>
      </c>
      <c r="J4569" s="4" t="s">
        <v>14433</v>
      </c>
      <c r="K4569" s="4" t="s">
        <v>14538</v>
      </c>
      <c r="L4569" s="5">
        <v>72200</v>
      </c>
    </row>
    <row r="4570" spans="1:12" x14ac:dyDescent="0.25">
      <c r="A4570" s="3" t="s">
        <v>13772</v>
      </c>
      <c r="B4570" s="4" t="s">
        <v>14425</v>
      </c>
      <c r="C4570" s="4" t="s">
        <v>14</v>
      </c>
      <c r="D4570" s="4" t="s">
        <v>15</v>
      </c>
      <c r="E4570" s="5" t="str">
        <f>"9320001"</f>
        <v>9320001</v>
      </c>
      <c r="F4570" s="3" t="s">
        <v>14539</v>
      </c>
      <c r="G4570" s="5">
        <v>2842305008</v>
      </c>
      <c r="H4570" s="4" t="s">
        <v>14540</v>
      </c>
      <c r="I4570" s="4" t="s">
        <v>14432</v>
      </c>
      <c r="J4570" s="4" t="s">
        <v>14541</v>
      </c>
      <c r="K4570" s="4" t="s">
        <v>14542</v>
      </c>
      <c r="L4570" s="5">
        <v>72200</v>
      </c>
    </row>
    <row r="4571" spans="1:12" x14ac:dyDescent="0.25">
      <c r="A4571" s="3" t="s">
        <v>13772</v>
      </c>
      <c r="B4571" s="4" t="s">
        <v>14425</v>
      </c>
      <c r="C4571" s="4" t="s">
        <v>25</v>
      </c>
      <c r="D4571" s="4" t="s">
        <v>26</v>
      </c>
      <c r="E4571" s="5" t="str">
        <f>"9320142"</f>
        <v>9320142</v>
      </c>
      <c r="F4571" s="3" t="s">
        <v>14543</v>
      </c>
      <c r="G4571" s="5">
        <v>2842110713</v>
      </c>
      <c r="H4571" s="4" t="s">
        <v>14544</v>
      </c>
      <c r="I4571" s="4" t="s">
        <v>14432</v>
      </c>
      <c r="J4571" s="4" t="s">
        <v>14433</v>
      </c>
      <c r="K4571" s="4" t="s">
        <v>14545</v>
      </c>
      <c r="L4571" s="5">
        <v>72200</v>
      </c>
    </row>
    <row r="4572" spans="1:12" x14ac:dyDescent="0.25">
      <c r="A4572" s="3" t="s">
        <v>13772</v>
      </c>
      <c r="B4572" s="4" t="s">
        <v>14425</v>
      </c>
      <c r="C4572" s="4" t="s">
        <v>14</v>
      </c>
      <c r="D4572" s="4" t="s">
        <v>15</v>
      </c>
      <c r="E4572" s="5" t="str">
        <f>"9320009"</f>
        <v>9320009</v>
      </c>
      <c r="F4572" s="3" t="s">
        <v>14546</v>
      </c>
      <c r="G4572" s="5">
        <v>2842305018</v>
      </c>
      <c r="H4572" s="4" t="s">
        <v>14547</v>
      </c>
      <c r="I4572" s="4" t="s">
        <v>14432</v>
      </c>
      <c r="J4572" s="4" t="s">
        <v>14548</v>
      </c>
      <c r="K4572" s="4" t="s">
        <v>14549</v>
      </c>
      <c r="L4572" s="5">
        <v>72200</v>
      </c>
    </row>
    <row r="4573" spans="1:12" x14ac:dyDescent="0.25">
      <c r="A4573" s="3" t="s">
        <v>13772</v>
      </c>
      <c r="B4573" s="4" t="s">
        <v>14425</v>
      </c>
      <c r="C4573" s="4" t="s">
        <v>25</v>
      </c>
      <c r="D4573" s="4" t="s">
        <v>26</v>
      </c>
      <c r="E4573" s="5" t="str">
        <f>"9320146"</f>
        <v>9320146</v>
      </c>
      <c r="F4573" s="3" t="s">
        <v>14550</v>
      </c>
      <c r="G4573" s="5">
        <v>2842305016</v>
      </c>
      <c r="H4573" s="4" t="s">
        <v>14551</v>
      </c>
      <c r="I4573" s="4" t="s">
        <v>14432</v>
      </c>
      <c r="J4573" s="4" t="s">
        <v>14433</v>
      </c>
      <c r="K4573" s="4" t="s">
        <v>14552</v>
      </c>
      <c r="L4573" s="5">
        <v>72200</v>
      </c>
    </row>
    <row r="4574" spans="1:12" x14ac:dyDescent="0.25">
      <c r="A4574" s="3" t="s">
        <v>13772</v>
      </c>
      <c r="B4574" s="4" t="s">
        <v>14425</v>
      </c>
      <c r="C4574" s="4" t="s">
        <v>25</v>
      </c>
      <c r="D4574" s="4" t="s">
        <v>26</v>
      </c>
      <c r="E4574" s="5" t="str">
        <f>"9320211"</f>
        <v>9320211</v>
      </c>
      <c r="F4574" s="3" t="s">
        <v>14553</v>
      </c>
      <c r="G4574" s="5">
        <v>2842305033</v>
      </c>
      <c r="H4574" s="4" t="s">
        <v>14554</v>
      </c>
      <c r="I4574" s="4" t="s">
        <v>14432</v>
      </c>
      <c r="J4574" s="4" t="s">
        <v>14433</v>
      </c>
      <c r="K4574" s="4" t="s">
        <v>14204</v>
      </c>
      <c r="L4574" s="5">
        <v>72200</v>
      </c>
    </row>
    <row r="4575" spans="1:12" x14ac:dyDescent="0.25">
      <c r="A4575" s="3" t="s">
        <v>13772</v>
      </c>
      <c r="B4575" s="4" t="s">
        <v>14425</v>
      </c>
      <c r="C4575" s="4" t="s">
        <v>25</v>
      </c>
      <c r="D4575" s="4" t="s">
        <v>26</v>
      </c>
      <c r="E4575" s="5" t="str">
        <f>"9320143"</f>
        <v>9320143</v>
      </c>
      <c r="F4575" s="3" t="s">
        <v>14555</v>
      </c>
      <c r="G4575" s="5">
        <v>2842305015</v>
      </c>
      <c r="H4575" s="4" t="s">
        <v>14556</v>
      </c>
      <c r="I4575" s="4" t="s">
        <v>14432</v>
      </c>
      <c r="J4575" s="4" t="s">
        <v>14433</v>
      </c>
      <c r="K4575" s="4" t="s">
        <v>14557</v>
      </c>
      <c r="L4575" s="5">
        <v>72200</v>
      </c>
    </row>
    <row r="4576" spans="1:12" x14ac:dyDescent="0.25">
      <c r="A4576" s="3" t="s">
        <v>13772</v>
      </c>
      <c r="B4576" s="4" t="s">
        <v>14425</v>
      </c>
      <c r="C4576" s="4" t="s">
        <v>14</v>
      </c>
      <c r="D4576" s="4" t="s">
        <v>15</v>
      </c>
      <c r="E4576" s="5" t="str">
        <f>"9320021"</f>
        <v>9320021</v>
      </c>
      <c r="F4576" s="3" t="s">
        <v>14558</v>
      </c>
      <c r="G4576" s="5">
        <v>2842305021</v>
      </c>
      <c r="H4576" s="4" t="s">
        <v>14559</v>
      </c>
      <c r="I4576" s="4" t="s">
        <v>14432</v>
      </c>
      <c r="J4576" s="4" t="s">
        <v>14560</v>
      </c>
      <c r="K4576" s="4" t="s">
        <v>14560</v>
      </c>
      <c r="L4576" s="5">
        <v>72200</v>
      </c>
    </row>
    <row r="4577" spans="1:12" x14ac:dyDescent="0.25">
      <c r="A4577" s="3" t="s">
        <v>13772</v>
      </c>
      <c r="B4577" s="4" t="s">
        <v>14425</v>
      </c>
      <c r="C4577" s="4" t="s">
        <v>25</v>
      </c>
      <c r="D4577" s="4" t="s">
        <v>821</v>
      </c>
      <c r="E4577" s="5" t="str">
        <f>"9320002"</f>
        <v>9320002</v>
      </c>
      <c r="F4577" s="3" t="s">
        <v>14561</v>
      </c>
      <c r="G4577" s="5">
        <v>2842305054</v>
      </c>
      <c r="H4577" s="4" t="s">
        <v>14562</v>
      </c>
      <c r="I4577" s="4" t="s">
        <v>14432</v>
      </c>
      <c r="J4577" s="4" t="s">
        <v>14433</v>
      </c>
      <c r="K4577" s="4" t="s">
        <v>14563</v>
      </c>
      <c r="L4577" s="5">
        <v>72200</v>
      </c>
    </row>
    <row r="4578" spans="1:12" x14ac:dyDescent="0.25">
      <c r="A4578" s="3" t="s">
        <v>13772</v>
      </c>
      <c r="B4578" s="4" t="s">
        <v>14425</v>
      </c>
      <c r="C4578" s="4" t="s">
        <v>14</v>
      </c>
      <c r="D4578" s="4" t="s">
        <v>15</v>
      </c>
      <c r="E4578" s="5" t="str">
        <f>"9320071"</f>
        <v>9320071</v>
      </c>
      <c r="F4578" s="3" t="s">
        <v>14564</v>
      </c>
      <c r="G4578" s="5">
        <v>2841041234</v>
      </c>
      <c r="H4578" s="4" t="s">
        <v>14565</v>
      </c>
      <c r="I4578" s="4" t="s">
        <v>654</v>
      </c>
      <c r="J4578" s="4" t="s">
        <v>14518</v>
      </c>
      <c r="K4578" s="4" t="s">
        <v>14566</v>
      </c>
      <c r="L4578" s="5">
        <v>72053</v>
      </c>
    </row>
    <row r="4579" spans="1:12" x14ac:dyDescent="0.25">
      <c r="A4579" s="3" t="s">
        <v>13772</v>
      </c>
      <c r="B4579" s="4" t="s">
        <v>14425</v>
      </c>
      <c r="C4579" s="4" t="s">
        <v>14</v>
      </c>
      <c r="D4579" s="4" t="s">
        <v>15</v>
      </c>
      <c r="E4579" s="5" t="str">
        <f>"9521420"</f>
        <v>9521420</v>
      </c>
      <c r="F4579" s="3" t="s">
        <v>14567</v>
      </c>
      <c r="G4579" s="5">
        <v>2841305017</v>
      </c>
      <c r="H4579" s="4" t="s">
        <v>14568</v>
      </c>
      <c r="I4579" s="4" t="s">
        <v>654</v>
      </c>
      <c r="J4579" s="4" t="s">
        <v>14569</v>
      </c>
      <c r="K4579" s="4" t="s">
        <v>14570</v>
      </c>
      <c r="L4579" s="5">
        <v>72100</v>
      </c>
    </row>
    <row r="4580" spans="1:12" x14ac:dyDescent="0.25">
      <c r="A4580" s="3" t="s">
        <v>13772</v>
      </c>
      <c r="B4580" s="4" t="s">
        <v>14425</v>
      </c>
      <c r="C4580" s="4" t="s">
        <v>25</v>
      </c>
      <c r="D4580" s="4" t="s">
        <v>26</v>
      </c>
      <c r="E4580" s="5" t="str">
        <f>"9521466"</f>
        <v>9521466</v>
      </c>
      <c r="F4580" s="3" t="s">
        <v>14571</v>
      </c>
      <c r="G4580" s="5">
        <v>2842305002</v>
      </c>
      <c r="H4580" s="4" t="s">
        <v>14572</v>
      </c>
      <c r="I4580" s="4" t="s">
        <v>14432</v>
      </c>
      <c r="J4580" s="4" t="s">
        <v>14433</v>
      </c>
      <c r="K4580" s="4" t="s">
        <v>14573</v>
      </c>
      <c r="L4580" s="5">
        <v>72200</v>
      </c>
    </row>
    <row r="4581" spans="1:12" x14ac:dyDescent="0.25">
      <c r="A4581" s="3" t="s">
        <v>13772</v>
      </c>
      <c r="B4581" s="4" t="s">
        <v>14425</v>
      </c>
      <c r="C4581" s="4" t="s">
        <v>14</v>
      </c>
      <c r="D4581" s="4" t="s">
        <v>15</v>
      </c>
      <c r="E4581" s="5" t="str">
        <f>"9320060"</f>
        <v>9320060</v>
      </c>
      <c r="F4581" s="3" t="s">
        <v>14574</v>
      </c>
      <c r="G4581" s="5">
        <v>2841305019</v>
      </c>
      <c r="H4581" s="4" t="s">
        <v>14575</v>
      </c>
      <c r="I4581" s="4" t="s">
        <v>654</v>
      </c>
      <c r="J4581" s="4" t="s">
        <v>746</v>
      </c>
      <c r="K4581" s="4" t="s">
        <v>14576</v>
      </c>
      <c r="L4581" s="5">
        <v>72400</v>
      </c>
    </row>
    <row r="4582" spans="1:12" x14ac:dyDescent="0.25">
      <c r="A4582" s="3" t="s">
        <v>13772</v>
      </c>
      <c r="B4582" s="4" t="s">
        <v>14425</v>
      </c>
      <c r="C4582" s="4" t="s">
        <v>14</v>
      </c>
      <c r="D4582" s="4" t="s">
        <v>15</v>
      </c>
      <c r="E4582" s="5" t="str">
        <f>"9320063"</f>
        <v>9320063</v>
      </c>
      <c r="F4582" s="3" t="s">
        <v>14577</v>
      </c>
      <c r="G4582" s="5">
        <v>2841305005</v>
      </c>
      <c r="H4582" s="4" t="s">
        <v>14578</v>
      </c>
      <c r="I4582" s="4" t="s">
        <v>654</v>
      </c>
      <c r="J4582" s="4" t="s">
        <v>746</v>
      </c>
      <c r="K4582" s="4" t="s">
        <v>14579</v>
      </c>
      <c r="L4582" s="5">
        <v>72400</v>
      </c>
    </row>
    <row r="4583" spans="1:12" x14ac:dyDescent="0.25">
      <c r="A4583" s="3" t="s">
        <v>13772</v>
      </c>
      <c r="B4583" s="4" t="s">
        <v>14425</v>
      </c>
      <c r="C4583" s="4" t="s">
        <v>25</v>
      </c>
      <c r="D4583" s="4" t="s">
        <v>26</v>
      </c>
      <c r="E4583" s="5" t="str">
        <f>"9321001"</f>
        <v>9321001</v>
      </c>
      <c r="F4583" s="3" t="s">
        <v>14580</v>
      </c>
      <c r="G4583" s="5">
        <v>2842305067</v>
      </c>
      <c r="H4583" s="4" t="s">
        <v>14581</v>
      </c>
      <c r="I4583" s="4" t="s">
        <v>14432</v>
      </c>
      <c r="J4583" s="4" t="s">
        <v>14433</v>
      </c>
      <c r="K4583" s="4" t="s">
        <v>14582</v>
      </c>
      <c r="L4583" s="5">
        <v>72200</v>
      </c>
    </row>
    <row r="4584" spans="1:12" ht="30" x14ac:dyDescent="0.25">
      <c r="A4584" s="3" t="s">
        <v>13772</v>
      </c>
      <c r="B4584" s="4" t="s">
        <v>14583</v>
      </c>
      <c r="C4584" s="4" t="s">
        <v>25</v>
      </c>
      <c r="D4584" s="4" t="s">
        <v>26</v>
      </c>
      <c r="E4584" s="5" t="str">
        <f>"9410210"</f>
        <v>9410210</v>
      </c>
      <c r="F4584" s="3" t="s">
        <v>14584</v>
      </c>
      <c r="G4584" s="5">
        <v>2831027655</v>
      </c>
      <c r="H4584" s="4" t="s">
        <v>14585</v>
      </c>
      <c r="I4584" s="4" t="s">
        <v>14586</v>
      </c>
      <c r="J4584" s="4" t="s">
        <v>14587</v>
      </c>
      <c r="K4584" s="4" t="s">
        <v>14588</v>
      </c>
      <c r="L4584" s="5">
        <v>74100</v>
      </c>
    </row>
    <row r="4585" spans="1:12" ht="30" x14ac:dyDescent="0.25">
      <c r="A4585" s="3" t="s">
        <v>13772</v>
      </c>
      <c r="B4585" s="4" t="s">
        <v>14583</v>
      </c>
      <c r="C4585" s="4" t="s">
        <v>25</v>
      </c>
      <c r="D4585" s="4" t="s">
        <v>26</v>
      </c>
      <c r="E4585" s="5" t="str">
        <f>"9410247"</f>
        <v>9410247</v>
      </c>
      <c r="F4585" s="3" t="s">
        <v>14589</v>
      </c>
      <c r="G4585" s="5">
        <v>2831022381</v>
      </c>
      <c r="H4585" s="4" t="s">
        <v>14590</v>
      </c>
      <c r="I4585" s="4" t="s">
        <v>14586</v>
      </c>
      <c r="J4585" s="4" t="s">
        <v>14591</v>
      </c>
      <c r="K4585" s="4" t="s">
        <v>14592</v>
      </c>
      <c r="L4585" s="5">
        <v>74100</v>
      </c>
    </row>
    <row r="4586" spans="1:12" ht="30" x14ac:dyDescent="0.25">
      <c r="A4586" s="3" t="s">
        <v>13772</v>
      </c>
      <c r="B4586" s="4" t="s">
        <v>14583</v>
      </c>
      <c r="C4586" s="4" t="s">
        <v>25</v>
      </c>
      <c r="D4586" s="4" t="s">
        <v>26</v>
      </c>
      <c r="E4586" s="5" t="str">
        <f>"9410196"</f>
        <v>9410196</v>
      </c>
      <c r="F4586" s="3" t="s">
        <v>14593</v>
      </c>
      <c r="G4586" s="5">
        <v>2831027495</v>
      </c>
      <c r="H4586" s="4" t="s">
        <v>14594</v>
      </c>
      <c r="I4586" s="4" t="s">
        <v>14586</v>
      </c>
      <c r="J4586" s="4" t="s">
        <v>14591</v>
      </c>
      <c r="K4586" s="4" t="s">
        <v>14595</v>
      </c>
      <c r="L4586" s="5">
        <v>74100</v>
      </c>
    </row>
    <row r="4587" spans="1:12" ht="30" x14ac:dyDescent="0.25">
      <c r="A4587" s="3" t="s">
        <v>13772</v>
      </c>
      <c r="B4587" s="4" t="s">
        <v>14583</v>
      </c>
      <c r="C4587" s="4" t="s">
        <v>25</v>
      </c>
      <c r="D4587" s="4" t="s">
        <v>26</v>
      </c>
      <c r="E4587" s="5" t="str">
        <f>"9410189"</f>
        <v>9410189</v>
      </c>
      <c r="F4587" s="3" t="s">
        <v>14596</v>
      </c>
      <c r="G4587" s="5">
        <v>2831028290</v>
      </c>
      <c r="H4587" s="4" t="s">
        <v>14597</v>
      </c>
      <c r="I4587" s="4" t="s">
        <v>14586</v>
      </c>
      <c r="J4587" s="4" t="s">
        <v>14591</v>
      </c>
      <c r="K4587" s="4" t="s">
        <v>14598</v>
      </c>
      <c r="L4587" s="5">
        <v>74100</v>
      </c>
    </row>
    <row r="4588" spans="1:12" x14ac:dyDescent="0.25">
      <c r="A4588" s="3" t="s">
        <v>13772</v>
      </c>
      <c r="B4588" s="4" t="s">
        <v>14583</v>
      </c>
      <c r="C4588" s="4" t="s">
        <v>25</v>
      </c>
      <c r="D4588" s="4" t="s">
        <v>26</v>
      </c>
      <c r="E4588" s="5" t="str">
        <f>"9410206"</f>
        <v>9410206</v>
      </c>
      <c r="F4588" s="3" t="s">
        <v>14599</v>
      </c>
      <c r="G4588" s="5">
        <v>2831023219</v>
      </c>
      <c r="H4588" s="4" t="s">
        <v>14600</v>
      </c>
      <c r="I4588" s="4" t="s">
        <v>14586</v>
      </c>
      <c r="J4588" s="4" t="s">
        <v>14601</v>
      </c>
      <c r="K4588" s="4" t="s">
        <v>14602</v>
      </c>
      <c r="L4588" s="5">
        <v>74100</v>
      </c>
    </row>
    <row r="4589" spans="1:12" x14ac:dyDescent="0.25">
      <c r="A4589" s="3" t="s">
        <v>13772</v>
      </c>
      <c r="B4589" s="4" t="s">
        <v>14583</v>
      </c>
      <c r="C4589" s="4" t="s">
        <v>25</v>
      </c>
      <c r="D4589" s="4" t="s">
        <v>26</v>
      </c>
      <c r="E4589" s="5" t="str">
        <f>"9410068"</f>
        <v>9410068</v>
      </c>
      <c r="F4589" s="3" t="s">
        <v>14603</v>
      </c>
      <c r="G4589" s="5">
        <v>2831029132</v>
      </c>
      <c r="H4589" s="4" t="s">
        <v>14604</v>
      </c>
      <c r="I4589" s="4" t="s">
        <v>14586</v>
      </c>
      <c r="J4589" s="4" t="s">
        <v>14591</v>
      </c>
      <c r="K4589" s="4" t="s">
        <v>14605</v>
      </c>
      <c r="L4589" s="5">
        <v>74100</v>
      </c>
    </row>
    <row r="4590" spans="1:12" x14ac:dyDescent="0.25">
      <c r="A4590" s="3" t="s">
        <v>13772</v>
      </c>
      <c r="B4590" s="4" t="s">
        <v>14583</v>
      </c>
      <c r="C4590" s="4" t="s">
        <v>25</v>
      </c>
      <c r="D4590" s="4" t="s">
        <v>26</v>
      </c>
      <c r="E4590" s="5" t="str">
        <f>"9410248"</f>
        <v>9410248</v>
      </c>
      <c r="F4590" s="3" t="s">
        <v>14606</v>
      </c>
      <c r="G4590" s="5">
        <v>2831071898</v>
      </c>
      <c r="H4590" s="4" t="s">
        <v>14607</v>
      </c>
      <c r="I4590" s="4" t="s">
        <v>14586</v>
      </c>
      <c r="J4590" s="4" t="s">
        <v>3167</v>
      </c>
      <c r="K4590" s="4" t="s">
        <v>3167</v>
      </c>
      <c r="L4590" s="5">
        <v>74100</v>
      </c>
    </row>
    <row r="4591" spans="1:12" ht="30" x14ac:dyDescent="0.25">
      <c r="A4591" s="3" t="s">
        <v>13772</v>
      </c>
      <c r="B4591" s="4" t="s">
        <v>14583</v>
      </c>
      <c r="C4591" s="4" t="s">
        <v>25</v>
      </c>
      <c r="D4591" s="4" t="s">
        <v>26</v>
      </c>
      <c r="E4591" s="5" t="str">
        <f>"9410267"</f>
        <v>9410267</v>
      </c>
      <c r="F4591" s="3" t="s">
        <v>14608</v>
      </c>
      <c r="G4591" s="5">
        <v>2831029089</v>
      </c>
      <c r="H4591" s="4" t="s">
        <v>14609</v>
      </c>
      <c r="I4591" s="4" t="s">
        <v>14586</v>
      </c>
      <c r="J4591" s="4" t="s">
        <v>14591</v>
      </c>
      <c r="K4591" s="4" t="s">
        <v>14610</v>
      </c>
      <c r="L4591" s="5">
        <v>74133</v>
      </c>
    </row>
    <row r="4592" spans="1:12" x14ac:dyDescent="0.25">
      <c r="A4592" s="3" t="s">
        <v>13772</v>
      </c>
      <c r="B4592" s="4" t="s">
        <v>14583</v>
      </c>
      <c r="C4592" s="4" t="s">
        <v>25</v>
      </c>
      <c r="D4592" s="4" t="s">
        <v>26</v>
      </c>
      <c r="E4592" s="5" t="str">
        <f>"9410228"</f>
        <v>9410228</v>
      </c>
      <c r="F4592" s="3" t="s">
        <v>14611</v>
      </c>
      <c r="G4592" s="5">
        <v>2831071202</v>
      </c>
      <c r="H4592" s="4" t="s">
        <v>14612</v>
      </c>
      <c r="I4592" s="4" t="s">
        <v>14586</v>
      </c>
      <c r="J4592" s="4" t="s">
        <v>14613</v>
      </c>
      <c r="K4592" s="4" t="s">
        <v>14613</v>
      </c>
      <c r="L4592" s="5">
        <v>74100</v>
      </c>
    </row>
    <row r="4593" spans="1:12" ht="30" x14ac:dyDescent="0.25">
      <c r="A4593" s="3" t="s">
        <v>13772</v>
      </c>
      <c r="B4593" s="4" t="s">
        <v>14583</v>
      </c>
      <c r="C4593" s="4" t="s">
        <v>25</v>
      </c>
      <c r="D4593" s="4" t="s">
        <v>26</v>
      </c>
      <c r="E4593" s="5" t="str">
        <f>"9410266"</f>
        <v>9410266</v>
      </c>
      <c r="F4593" s="3" t="s">
        <v>14614</v>
      </c>
      <c r="G4593" s="5">
        <v>2831022467</v>
      </c>
      <c r="H4593" s="4" t="s">
        <v>14615</v>
      </c>
      <c r="I4593" s="4" t="s">
        <v>14586</v>
      </c>
      <c r="J4593" s="4" t="s">
        <v>14591</v>
      </c>
      <c r="K4593" s="4" t="s">
        <v>14592</v>
      </c>
      <c r="L4593" s="5">
        <v>74100</v>
      </c>
    </row>
    <row r="4594" spans="1:12" ht="45" x14ac:dyDescent="0.25">
      <c r="A4594" s="3" t="s">
        <v>13772</v>
      </c>
      <c r="B4594" s="4" t="s">
        <v>14583</v>
      </c>
      <c r="C4594" s="4" t="s">
        <v>14</v>
      </c>
      <c r="D4594" s="4" t="s">
        <v>15</v>
      </c>
      <c r="E4594" s="5" t="str">
        <f>"9410155"</f>
        <v>9410155</v>
      </c>
      <c r="F4594" s="3" t="s">
        <v>14616</v>
      </c>
      <c r="G4594" s="5">
        <v>2831028697</v>
      </c>
      <c r="H4594" s="4" t="s">
        <v>14617</v>
      </c>
      <c r="I4594" s="4" t="s">
        <v>14586</v>
      </c>
      <c r="J4594" s="4" t="s">
        <v>14618</v>
      </c>
      <c r="K4594" s="4" t="s">
        <v>14619</v>
      </c>
      <c r="L4594" s="5">
        <v>74100</v>
      </c>
    </row>
    <row r="4595" spans="1:12" ht="30" x14ac:dyDescent="0.25">
      <c r="A4595" s="3" t="s">
        <v>13772</v>
      </c>
      <c r="B4595" s="4" t="s">
        <v>14583</v>
      </c>
      <c r="C4595" s="4" t="s">
        <v>14</v>
      </c>
      <c r="D4595" s="4" t="s">
        <v>15</v>
      </c>
      <c r="E4595" s="5" t="str">
        <f>"9410082"</f>
        <v>9410082</v>
      </c>
      <c r="F4595" s="3" t="s">
        <v>14620</v>
      </c>
      <c r="G4595" s="5">
        <v>2831075013</v>
      </c>
      <c r="H4595" s="4" t="s">
        <v>14621</v>
      </c>
      <c r="I4595" s="4" t="s">
        <v>14586</v>
      </c>
      <c r="J4595" s="4" t="s">
        <v>14622</v>
      </c>
      <c r="K4595" s="4" t="s">
        <v>14622</v>
      </c>
      <c r="L4595" s="5">
        <v>74100</v>
      </c>
    </row>
    <row r="4596" spans="1:12" ht="30" x14ac:dyDescent="0.25">
      <c r="A4596" s="3" t="s">
        <v>13772</v>
      </c>
      <c r="B4596" s="4" t="s">
        <v>14583</v>
      </c>
      <c r="C4596" s="4" t="s">
        <v>14</v>
      </c>
      <c r="D4596" s="4" t="s">
        <v>15</v>
      </c>
      <c r="E4596" s="5" t="str">
        <f>"9410127"</f>
        <v>9410127</v>
      </c>
      <c r="F4596" s="3" t="s">
        <v>14623</v>
      </c>
      <c r="G4596" s="5">
        <v>2833022347</v>
      </c>
      <c r="H4596" s="4" t="s">
        <v>14624</v>
      </c>
      <c r="I4596" s="4" t="s">
        <v>14625</v>
      </c>
      <c r="J4596" s="4" t="s">
        <v>14626</v>
      </c>
      <c r="K4596" s="4" t="s">
        <v>14626</v>
      </c>
      <c r="L4596" s="5">
        <v>74061</v>
      </c>
    </row>
    <row r="4597" spans="1:12" x14ac:dyDescent="0.25">
      <c r="A4597" s="3" t="s">
        <v>13772</v>
      </c>
      <c r="B4597" s="4" t="s">
        <v>14583</v>
      </c>
      <c r="C4597" s="4" t="s">
        <v>14</v>
      </c>
      <c r="D4597" s="4" t="s">
        <v>15</v>
      </c>
      <c r="E4597" s="5" t="str">
        <f>"9410061"</f>
        <v>9410061</v>
      </c>
      <c r="F4597" s="3" t="s">
        <v>14627</v>
      </c>
      <c r="G4597" s="5">
        <v>2831024378</v>
      </c>
      <c r="H4597" s="4" t="s">
        <v>14628</v>
      </c>
      <c r="I4597" s="4" t="s">
        <v>14586</v>
      </c>
      <c r="J4597" s="4" t="s">
        <v>14618</v>
      </c>
      <c r="K4597" s="4" t="s">
        <v>14629</v>
      </c>
      <c r="L4597" s="5">
        <v>74100</v>
      </c>
    </row>
    <row r="4598" spans="1:12" x14ac:dyDescent="0.25">
      <c r="A4598" s="3" t="s">
        <v>13772</v>
      </c>
      <c r="B4598" s="4" t="s">
        <v>14583</v>
      </c>
      <c r="C4598" s="4" t="s">
        <v>14</v>
      </c>
      <c r="D4598" s="4" t="s">
        <v>15</v>
      </c>
      <c r="E4598" s="5" t="str">
        <f>"9410067"</f>
        <v>9410067</v>
      </c>
      <c r="F4598" s="3" t="s">
        <v>14630</v>
      </c>
      <c r="G4598" s="5">
        <v>2831022836</v>
      </c>
      <c r="H4598" s="4" t="s">
        <v>14631</v>
      </c>
      <c r="I4598" s="4" t="s">
        <v>14586</v>
      </c>
      <c r="J4598" s="4" t="s">
        <v>14618</v>
      </c>
      <c r="K4598" s="4" t="s">
        <v>14632</v>
      </c>
      <c r="L4598" s="5">
        <v>74100</v>
      </c>
    </row>
    <row r="4599" spans="1:12" ht="30" x14ac:dyDescent="0.25">
      <c r="A4599" s="3" t="s">
        <v>13772</v>
      </c>
      <c r="B4599" s="4" t="s">
        <v>14583</v>
      </c>
      <c r="C4599" s="4" t="s">
        <v>14</v>
      </c>
      <c r="D4599" s="4" t="s">
        <v>15</v>
      </c>
      <c r="E4599" s="5" t="str">
        <f>"9410242"</f>
        <v>9410242</v>
      </c>
      <c r="F4599" s="3" t="s">
        <v>14633</v>
      </c>
      <c r="G4599" s="5">
        <v>2834023145</v>
      </c>
      <c r="H4599" s="4" t="s">
        <v>14634</v>
      </c>
      <c r="I4599" s="4" t="s">
        <v>14635</v>
      </c>
      <c r="J4599" s="4" t="s">
        <v>6376</v>
      </c>
      <c r="K4599" s="4" t="s">
        <v>6006</v>
      </c>
      <c r="L4599" s="5">
        <v>74052</v>
      </c>
    </row>
    <row r="4600" spans="1:12" x14ac:dyDescent="0.25">
      <c r="A4600" s="3" t="s">
        <v>13772</v>
      </c>
      <c r="B4600" s="4" t="s">
        <v>14583</v>
      </c>
      <c r="C4600" s="4" t="s">
        <v>14</v>
      </c>
      <c r="D4600" s="4" t="s">
        <v>15</v>
      </c>
      <c r="E4600" s="5" t="str">
        <f>"9410226"</f>
        <v>9410226</v>
      </c>
      <c r="F4600" s="3" t="s">
        <v>14636</v>
      </c>
      <c r="G4600" s="5">
        <v>2831071088</v>
      </c>
      <c r="H4600" s="4" t="s">
        <v>14637</v>
      </c>
      <c r="I4600" s="4" t="s">
        <v>14586</v>
      </c>
      <c r="J4600" s="4" t="s">
        <v>14638</v>
      </c>
      <c r="K4600" s="4" t="s">
        <v>14638</v>
      </c>
      <c r="L4600" s="5">
        <v>74100</v>
      </c>
    </row>
    <row r="4601" spans="1:12" x14ac:dyDescent="0.25">
      <c r="A4601" s="3" t="s">
        <v>13772</v>
      </c>
      <c r="B4601" s="4" t="s">
        <v>14583</v>
      </c>
      <c r="C4601" s="4" t="s">
        <v>14</v>
      </c>
      <c r="D4601" s="4" t="s">
        <v>15</v>
      </c>
      <c r="E4601" s="5" t="str">
        <f>"9410152"</f>
        <v>9410152</v>
      </c>
      <c r="F4601" s="3" t="s">
        <v>14639</v>
      </c>
      <c r="G4601" s="5">
        <v>2831029088</v>
      </c>
      <c r="H4601" s="4" t="s">
        <v>14640</v>
      </c>
      <c r="I4601" s="4" t="s">
        <v>14586</v>
      </c>
      <c r="J4601" s="4" t="s">
        <v>14618</v>
      </c>
      <c r="K4601" s="4" t="s">
        <v>14641</v>
      </c>
      <c r="L4601" s="5">
        <v>74100</v>
      </c>
    </row>
    <row r="4602" spans="1:12" x14ac:dyDescent="0.25">
      <c r="A4602" s="3" t="s">
        <v>13772</v>
      </c>
      <c r="B4602" s="4" t="s">
        <v>14583</v>
      </c>
      <c r="C4602" s="4" t="s">
        <v>14</v>
      </c>
      <c r="D4602" s="4" t="s">
        <v>15</v>
      </c>
      <c r="E4602" s="5" t="str">
        <f>"9410241"</f>
        <v>9410241</v>
      </c>
      <c r="F4602" s="3" t="s">
        <v>14642</v>
      </c>
      <c r="G4602" s="5">
        <v>2831022616</v>
      </c>
      <c r="H4602" s="4" t="s">
        <v>14643</v>
      </c>
      <c r="I4602" s="4" t="s">
        <v>14586</v>
      </c>
      <c r="J4602" s="4" t="s">
        <v>14618</v>
      </c>
      <c r="K4602" s="4" t="s">
        <v>14644</v>
      </c>
      <c r="L4602" s="5">
        <v>74100</v>
      </c>
    </row>
    <row r="4603" spans="1:12" x14ac:dyDescent="0.25">
      <c r="A4603" s="3" t="s">
        <v>13772</v>
      </c>
      <c r="B4603" s="4" t="s">
        <v>14583</v>
      </c>
      <c r="C4603" s="4" t="s">
        <v>14</v>
      </c>
      <c r="D4603" s="4" t="s">
        <v>15</v>
      </c>
      <c r="E4603" s="5" t="str">
        <f>"9410003"</f>
        <v>9410003</v>
      </c>
      <c r="F4603" s="3" t="s">
        <v>14645</v>
      </c>
      <c r="G4603" s="5">
        <v>2834031213</v>
      </c>
      <c r="H4603" s="4" t="s">
        <v>14646</v>
      </c>
      <c r="I4603" s="4" t="s">
        <v>14647</v>
      </c>
      <c r="J4603" s="4"/>
      <c r="K4603" s="4" t="s">
        <v>14648</v>
      </c>
      <c r="L4603" s="5">
        <v>74051</v>
      </c>
    </row>
    <row r="4604" spans="1:12" x14ac:dyDescent="0.25">
      <c r="A4604" s="3" t="s">
        <v>13772</v>
      </c>
      <c r="B4604" s="4" t="s">
        <v>14583</v>
      </c>
      <c r="C4604" s="4" t="s">
        <v>14</v>
      </c>
      <c r="D4604" s="4" t="s">
        <v>15</v>
      </c>
      <c r="E4604" s="5" t="str">
        <f>"9410072"</f>
        <v>9410072</v>
      </c>
      <c r="F4604" s="3" t="s">
        <v>14649</v>
      </c>
      <c r="G4604" s="5">
        <v>2831071264</v>
      </c>
      <c r="H4604" s="4" t="s">
        <v>14650</v>
      </c>
      <c r="I4604" s="4" t="s">
        <v>14586</v>
      </c>
      <c r="J4604" s="4" t="s">
        <v>14651</v>
      </c>
      <c r="K4604" s="4" t="s">
        <v>14651</v>
      </c>
      <c r="L4604" s="5">
        <v>74150</v>
      </c>
    </row>
    <row r="4605" spans="1:12" ht="45" x14ac:dyDescent="0.25">
      <c r="A4605" s="3" t="s">
        <v>13772</v>
      </c>
      <c r="B4605" s="4" t="s">
        <v>14583</v>
      </c>
      <c r="C4605" s="4" t="s">
        <v>14</v>
      </c>
      <c r="D4605" s="4" t="s">
        <v>15</v>
      </c>
      <c r="E4605" s="5" t="str">
        <f>"9410070"</f>
        <v>9410070</v>
      </c>
      <c r="F4605" s="3" t="s">
        <v>14652</v>
      </c>
      <c r="G4605" s="5">
        <v>2831028583</v>
      </c>
      <c r="H4605" s="4" t="s">
        <v>14653</v>
      </c>
      <c r="I4605" s="4" t="s">
        <v>14586</v>
      </c>
      <c r="J4605" s="4" t="s">
        <v>14618</v>
      </c>
      <c r="K4605" s="4" t="s">
        <v>14654</v>
      </c>
      <c r="L4605" s="5">
        <v>74100</v>
      </c>
    </row>
    <row r="4606" spans="1:12" x14ac:dyDescent="0.25">
      <c r="A4606" s="3" t="s">
        <v>13772</v>
      </c>
      <c r="B4606" s="4" t="s">
        <v>14583</v>
      </c>
      <c r="C4606" s="4" t="s">
        <v>14</v>
      </c>
      <c r="D4606" s="4" t="s">
        <v>15</v>
      </c>
      <c r="E4606" s="5" t="str">
        <f>"9410038"</f>
        <v>9410038</v>
      </c>
      <c r="F4606" s="3" t="s">
        <v>14655</v>
      </c>
      <c r="G4606" s="5">
        <v>2834061471</v>
      </c>
      <c r="H4606" s="4" t="s">
        <v>14656</v>
      </c>
      <c r="I4606" s="4" t="s">
        <v>14635</v>
      </c>
      <c r="J4606" s="4" t="s">
        <v>14657</v>
      </c>
      <c r="K4606" s="4" t="s">
        <v>14658</v>
      </c>
      <c r="L4606" s="5">
        <v>74051</v>
      </c>
    </row>
    <row r="4607" spans="1:12" ht="30" x14ac:dyDescent="0.25">
      <c r="A4607" s="3" t="s">
        <v>13772</v>
      </c>
      <c r="B4607" s="4" t="s">
        <v>14583</v>
      </c>
      <c r="C4607" s="4" t="s">
        <v>14</v>
      </c>
      <c r="D4607" s="4" t="s">
        <v>15</v>
      </c>
      <c r="E4607" s="5" t="str">
        <f>"9410069"</f>
        <v>9410069</v>
      </c>
      <c r="F4607" s="3" t="s">
        <v>14659</v>
      </c>
      <c r="G4607" s="5">
        <v>2831029296</v>
      </c>
      <c r="H4607" s="4" t="s">
        <v>14660</v>
      </c>
      <c r="I4607" s="4" t="s">
        <v>14586</v>
      </c>
      <c r="J4607" s="4" t="s">
        <v>14618</v>
      </c>
      <c r="K4607" s="4" t="s">
        <v>14605</v>
      </c>
      <c r="L4607" s="5">
        <v>74100</v>
      </c>
    </row>
    <row r="4608" spans="1:12" x14ac:dyDescent="0.25">
      <c r="A4608" s="3" t="s">
        <v>13772</v>
      </c>
      <c r="B4608" s="4" t="s">
        <v>14583</v>
      </c>
      <c r="C4608" s="4" t="s">
        <v>14</v>
      </c>
      <c r="D4608" s="4" t="s">
        <v>15</v>
      </c>
      <c r="E4608" s="5" t="str">
        <f>"9410033"</f>
        <v>9410033</v>
      </c>
      <c r="F4608" s="3" t="s">
        <v>14661</v>
      </c>
      <c r="G4608" s="5">
        <v>2834061210</v>
      </c>
      <c r="H4608" s="4" t="s">
        <v>14662</v>
      </c>
      <c r="I4608" s="4" t="s">
        <v>14635</v>
      </c>
      <c r="J4608" s="4" t="s">
        <v>14663</v>
      </c>
      <c r="K4608" s="4" t="s">
        <v>14664</v>
      </c>
      <c r="L4608" s="5">
        <v>74051</v>
      </c>
    </row>
    <row r="4609" spans="1:12" x14ac:dyDescent="0.25">
      <c r="A4609" s="3" t="s">
        <v>13772</v>
      </c>
      <c r="B4609" s="4" t="s">
        <v>14583</v>
      </c>
      <c r="C4609" s="4" t="s">
        <v>25</v>
      </c>
      <c r="D4609" s="4" t="s">
        <v>26</v>
      </c>
      <c r="E4609" s="5" t="str">
        <f>"9410240"</f>
        <v>9410240</v>
      </c>
      <c r="F4609" s="3" t="s">
        <v>14665</v>
      </c>
      <c r="G4609" s="5">
        <v>2831072568</v>
      </c>
      <c r="H4609" s="4" t="s">
        <v>14666</v>
      </c>
      <c r="I4609" s="4" t="s">
        <v>14586</v>
      </c>
      <c r="J4609" s="4" t="s">
        <v>14638</v>
      </c>
      <c r="K4609" s="4" t="s">
        <v>14638</v>
      </c>
      <c r="L4609" s="5">
        <v>74100</v>
      </c>
    </row>
    <row r="4610" spans="1:12" x14ac:dyDescent="0.25">
      <c r="A4610" s="3" t="s">
        <v>13772</v>
      </c>
      <c r="B4610" s="4" t="s">
        <v>14583</v>
      </c>
      <c r="C4610" s="4" t="s">
        <v>14</v>
      </c>
      <c r="D4610" s="4" t="s">
        <v>15</v>
      </c>
      <c r="E4610" s="5" t="str">
        <f>"9410065"</f>
        <v>9410065</v>
      </c>
      <c r="F4610" s="3" t="s">
        <v>14667</v>
      </c>
      <c r="G4610" s="5">
        <v>2831022519</v>
      </c>
      <c r="H4610" s="4" t="s">
        <v>14668</v>
      </c>
      <c r="I4610" s="4" t="s">
        <v>14586</v>
      </c>
      <c r="J4610" s="4" t="s">
        <v>14618</v>
      </c>
      <c r="K4610" s="4" t="s">
        <v>14669</v>
      </c>
      <c r="L4610" s="5">
        <v>74100</v>
      </c>
    </row>
    <row r="4611" spans="1:12" ht="45" x14ac:dyDescent="0.25">
      <c r="A4611" s="3" t="s">
        <v>13772</v>
      </c>
      <c r="B4611" s="4" t="s">
        <v>14583</v>
      </c>
      <c r="C4611" s="4" t="s">
        <v>14</v>
      </c>
      <c r="D4611" s="4" t="s">
        <v>15</v>
      </c>
      <c r="E4611" s="5" t="str">
        <f>"9410064"</f>
        <v>9410064</v>
      </c>
      <c r="F4611" s="3" t="s">
        <v>14670</v>
      </c>
      <c r="G4611" s="5">
        <v>2831028390</v>
      </c>
      <c r="H4611" s="4" t="s">
        <v>14671</v>
      </c>
      <c r="I4611" s="4" t="s">
        <v>14586</v>
      </c>
      <c r="J4611" s="4" t="s">
        <v>14618</v>
      </c>
      <c r="K4611" s="4" t="s">
        <v>14672</v>
      </c>
      <c r="L4611" s="5">
        <v>74100</v>
      </c>
    </row>
    <row r="4612" spans="1:12" ht="30" x14ac:dyDescent="0.25">
      <c r="A4612" s="3" t="s">
        <v>13772</v>
      </c>
      <c r="B4612" s="4" t="s">
        <v>14583</v>
      </c>
      <c r="C4612" s="4" t="s">
        <v>25</v>
      </c>
      <c r="D4612" s="4" t="s">
        <v>26</v>
      </c>
      <c r="E4612" s="5" t="str">
        <f>"9410002"</f>
        <v>9410002</v>
      </c>
      <c r="F4612" s="3" t="s">
        <v>14673</v>
      </c>
      <c r="G4612" s="5">
        <v>2834031184</v>
      </c>
      <c r="H4612" s="4" t="s">
        <v>14674</v>
      </c>
      <c r="I4612" s="4" t="s">
        <v>14647</v>
      </c>
      <c r="J4612" s="4" t="s">
        <v>14675</v>
      </c>
      <c r="K4612" s="4" t="s">
        <v>14676</v>
      </c>
      <c r="L4612" s="5">
        <v>74051</v>
      </c>
    </row>
    <row r="4613" spans="1:12" x14ac:dyDescent="0.25">
      <c r="A4613" s="3" t="s">
        <v>13772</v>
      </c>
      <c r="B4613" s="4" t="s">
        <v>14583</v>
      </c>
      <c r="C4613" s="4" t="s">
        <v>25</v>
      </c>
      <c r="D4613" s="4" t="s">
        <v>26</v>
      </c>
      <c r="E4613" s="5" t="str">
        <f>"9410252"</f>
        <v>9410252</v>
      </c>
      <c r="F4613" s="3" t="s">
        <v>14677</v>
      </c>
      <c r="G4613" s="5">
        <v>2832032056</v>
      </c>
      <c r="H4613" s="4" t="s">
        <v>14678</v>
      </c>
      <c r="I4613" s="4" t="s">
        <v>14679</v>
      </c>
      <c r="J4613" s="4" t="s">
        <v>14680</v>
      </c>
      <c r="K4613" s="4" t="s">
        <v>14680</v>
      </c>
      <c r="L4613" s="5">
        <v>74060</v>
      </c>
    </row>
    <row r="4614" spans="1:12" ht="30" x14ac:dyDescent="0.25">
      <c r="A4614" s="3" t="s">
        <v>13772</v>
      </c>
      <c r="B4614" s="4" t="s">
        <v>14583</v>
      </c>
      <c r="C4614" s="4" t="s">
        <v>25</v>
      </c>
      <c r="D4614" s="4" t="s">
        <v>26</v>
      </c>
      <c r="E4614" s="5" t="str">
        <f>"9410265"</f>
        <v>9410265</v>
      </c>
      <c r="F4614" s="3" t="s">
        <v>14681</v>
      </c>
      <c r="G4614" s="5">
        <v>2831027473</v>
      </c>
      <c r="H4614" s="4" t="s">
        <v>14682</v>
      </c>
      <c r="I4614" s="4" t="s">
        <v>14586</v>
      </c>
      <c r="J4614" s="4" t="s">
        <v>14618</v>
      </c>
      <c r="K4614" s="4" t="s">
        <v>14683</v>
      </c>
      <c r="L4614" s="5">
        <v>74100</v>
      </c>
    </row>
    <row r="4615" spans="1:12" ht="30" x14ac:dyDescent="0.25">
      <c r="A4615" s="3" t="s">
        <v>13772</v>
      </c>
      <c r="B4615" s="4" t="s">
        <v>14583</v>
      </c>
      <c r="C4615" s="4" t="s">
        <v>25</v>
      </c>
      <c r="D4615" s="4" t="s">
        <v>26</v>
      </c>
      <c r="E4615" s="5" t="str">
        <f>"9410066"</f>
        <v>9410066</v>
      </c>
      <c r="F4615" s="3" t="s">
        <v>14684</v>
      </c>
      <c r="G4615" s="5">
        <v>2831023745</v>
      </c>
      <c r="H4615" s="4" t="s">
        <v>14685</v>
      </c>
      <c r="I4615" s="4" t="s">
        <v>14586</v>
      </c>
      <c r="J4615" s="4" t="s">
        <v>14591</v>
      </c>
      <c r="K4615" s="4" t="s">
        <v>14686</v>
      </c>
      <c r="L4615" s="5">
        <v>74132</v>
      </c>
    </row>
    <row r="4616" spans="1:12" x14ac:dyDescent="0.25">
      <c r="A4616" s="3" t="s">
        <v>13772</v>
      </c>
      <c r="B4616" s="4" t="s">
        <v>14583</v>
      </c>
      <c r="C4616" s="4" t="s">
        <v>25</v>
      </c>
      <c r="D4616" s="4" t="s">
        <v>26</v>
      </c>
      <c r="E4616" s="5" t="str">
        <f>"9410153"</f>
        <v>9410153</v>
      </c>
      <c r="F4616" s="3" t="s">
        <v>14687</v>
      </c>
      <c r="G4616" s="5">
        <v>2831022984</v>
      </c>
      <c r="H4616" s="4" t="s">
        <v>14688</v>
      </c>
      <c r="I4616" s="4" t="s">
        <v>14586</v>
      </c>
      <c r="J4616" s="4" t="s">
        <v>14618</v>
      </c>
      <c r="K4616" s="4" t="s">
        <v>14689</v>
      </c>
      <c r="L4616" s="5">
        <v>74100</v>
      </c>
    </row>
    <row r="4617" spans="1:12" ht="30" x14ac:dyDescent="0.25">
      <c r="A4617" s="3" t="s">
        <v>13772</v>
      </c>
      <c r="B4617" s="4" t="s">
        <v>14583</v>
      </c>
      <c r="C4617" s="4" t="s">
        <v>25</v>
      </c>
      <c r="D4617" s="4" t="s">
        <v>26</v>
      </c>
      <c r="E4617" s="5" t="str">
        <f>"9410246"</f>
        <v>9410246</v>
      </c>
      <c r="F4617" s="3" t="s">
        <v>14690</v>
      </c>
      <c r="G4617" s="5">
        <v>2831031774</v>
      </c>
      <c r="H4617" s="4" t="s">
        <v>14691</v>
      </c>
      <c r="I4617" s="4" t="s">
        <v>14586</v>
      </c>
      <c r="J4617" s="4" t="s">
        <v>14692</v>
      </c>
      <c r="K4617" s="4" t="s">
        <v>14692</v>
      </c>
      <c r="L4617" s="5">
        <v>74100</v>
      </c>
    </row>
    <row r="4618" spans="1:12" ht="30" x14ac:dyDescent="0.25">
      <c r="A4618" s="3" t="s">
        <v>13772</v>
      </c>
      <c r="B4618" s="4" t="s">
        <v>14583</v>
      </c>
      <c r="C4618" s="4" t="s">
        <v>25</v>
      </c>
      <c r="D4618" s="4" t="s">
        <v>26</v>
      </c>
      <c r="E4618" s="5" t="str">
        <f>"9410220"</f>
        <v>9410220</v>
      </c>
      <c r="F4618" s="3" t="s">
        <v>14693</v>
      </c>
      <c r="G4618" s="5">
        <v>2831055513</v>
      </c>
      <c r="H4618" s="4" t="s">
        <v>14694</v>
      </c>
      <c r="I4618" s="4" t="s">
        <v>14586</v>
      </c>
      <c r="J4618" s="4" t="s">
        <v>14618</v>
      </c>
      <c r="K4618" s="4" t="s">
        <v>14695</v>
      </c>
      <c r="L4618" s="5">
        <v>74132</v>
      </c>
    </row>
    <row r="4619" spans="1:12" ht="30" x14ac:dyDescent="0.25">
      <c r="A4619" s="3" t="s">
        <v>13772</v>
      </c>
      <c r="B4619" s="4" t="s">
        <v>14583</v>
      </c>
      <c r="C4619" s="4" t="s">
        <v>25</v>
      </c>
      <c r="D4619" s="4" t="s">
        <v>26</v>
      </c>
      <c r="E4619" s="5" t="str">
        <f>"9520949"</f>
        <v>9520949</v>
      </c>
      <c r="F4619" s="3" t="s">
        <v>14696</v>
      </c>
      <c r="G4619" s="5">
        <v>2831031424</v>
      </c>
      <c r="H4619" s="4" t="s">
        <v>14697</v>
      </c>
      <c r="I4619" s="4" t="s">
        <v>14586</v>
      </c>
      <c r="J4619" s="4" t="s">
        <v>14698</v>
      </c>
      <c r="K4619" s="4" t="s">
        <v>14698</v>
      </c>
      <c r="L4619" s="5">
        <v>74100</v>
      </c>
    </row>
    <row r="4620" spans="1:12" ht="30" x14ac:dyDescent="0.25">
      <c r="A4620" s="3" t="s">
        <v>13772</v>
      </c>
      <c r="B4620" s="4" t="s">
        <v>14583</v>
      </c>
      <c r="C4620" s="4" t="s">
        <v>25</v>
      </c>
      <c r="D4620" s="4" t="s">
        <v>26</v>
      </c>
      <c r="E4620" s="5" t="str">
        <f>"9410249"</f>
        <v>9410249</v>
      </c>
      <c r="F4620" s="3" t="s">
        <v>14699</v>
      </c>
      <c r="G4620" s="5">
        <v>2831032526</v>
      </c>
      <c r="H4620" s="4" t="s">
        <v>14700</v>
      </c>
      <c r="I4620" s="4" t="s">
        <v>14586</v>
      </c>
      <c r="J4620" s="4" t="s">
        <v>14701</v>
      </c>
      <c r="K4620" s="4" t="s">
        <v>14701</v>
      </c>
      <c r="L4620" s="5">
        <v>74100</v>
      </c>
    </row>
    <row r="4621" spans="1:12" x14ac:dyDescent="0.25">
      <c r="A4621" s="3" t="s">
        <v>13772</v>
      </c>
      <c r="B4621" s="4" t="s">
        <v>14583</v>
      </c>
      <c r="C4621" s="4" t="s">
        <v>25</v>
      </c>
      <c r="D4621" s="4" t="s">
        <v>26</v>
      </c>
      <c r="E4621" s="5" t="str">
        <f>"9410232"</f>
        <v>9410232</v>
      </c>
      <c r="F4621" s="3" t="s">
        <v>14702</v>
      </c>
      <c r="G4621" s="5">
        <v>2831032007</v>
      </c>
      <c r="H4621" s="4" t="s">
        <v>14703</v>
      </c>
      <c r="I4621" s="4" t="s">
        <v>14586</v>
      </c>
      <c r="J4621" s="4" t="s">
        <v>14704</v>
      </c>
      <c r="K4621" s="4" t="s">
        <v>14705</v>
      </c>
      <c r="L4621" s="5">
        <v>74135</v>
      </c>
    </row>
    <row r="4622" spans="1:12" x14ac:dyDescent="0.25">
      <c r="A4622" s="3" t="s">
        <v>13772</v>
      </c>
      <c r="B4622" s="4" t="s">
        <v>14583</v>
      </c>
      <c r="C4622" s="4" t="s">
        <v>14</v>
      </c>
      <c r="D4622" s="4" t="s">
        <v>15</v>
      </c>
      <c r="E4622" s="5" t="str">
        <f>"9410092"</f>
        <v>9410092</v>
      </c>
      <c r="F4622" s="3" t="s">
        <v>14706</v>
      </c>
      <c r="G4622" s="5">
        <v>2832051056</v>
      </c>
      <c r="H4622" s="4" t="s">
        <v>14707</v>
      </c>
      <c r="I4622" s="4" t="s">
        <v>14679</v>
      </c>
      <c r="J4622" s="4" t="s">
        <v>14708</v>
      </c>
      <c r="K4622" s="4" t="s">
        <v>14708</v>
      </c>
      <c r="L4622" s="5">
        <v>74053</v>
      </c>
    </row>
    <row r="4623" spans="1:12" ht="30" x14ac:dyDescent="0.25">
      <c r="A4623" s="3" t="s">
        <v>13772</v>
      </c>
      <c r="B4623" s="4" t="s">
        <v>14583</v>
      </c>
      <c r="C4623" s="4" t="s">
        <v>14</v>
      </c>
      <c r="D4623" s="4" t="s">
        <v>15</v>
      </c>
      <c r="E4623" s="5" t="str">
        <f>"9410120"</f>
        <v>9410120</v>
      </c>
      <c r="F4623" s="3" t="s">
        <v>14709</v>
      </c>
      <c r="G4623" s="5">
        <v>2832022028</v>
      </c>
      <c r="H4623" s="4" t="s">
        <v>14710</v>
      </c>
      <c r="I4623" s="4" t="s">
        <v>14679</v>
      </c>
      <c r="J4623" s="4" t="s">
        <v>14618</v>
      </c>
      <c r="K4623" s="4" t="s">
        <v>14711</v>
      </c>
      <c r="L4623" s="5">
        <v>74053</v>
      </c>
    </row>
    <row r="4624" spans="1:12" x14ac:dyDescent="0.25">
      <c r="A4624" s="3" t="s">
        <v>13772</v>
      </c>
      <c r="B4624" s="4" t="s">
        <v>14583</v>
      </c>
      <c r="C4624" s="4" t="s">
        <v>25</v>
      </c>
      <c r="D4624" s="4" t="s">
        <v>26</v>
      </c>
      <c r="E4624" s="5" t="str">
        <f>"9410231"</f>
        <v>9410231</v>
      </c>
      <c r="F4624" s="3" t="s">
        <v>14712</v>
      </c>
      <c r="G4624" s="5">
        <v>2831025022</v>
      </c>
      <c r="H4624" s="4" t="s">
        <v>14713</v>
      </c>
      <c r="I4624" s="4" t="s">
        <v>14586</v>
      </c>
      <c r="J4624" s="4" t="s">
        <v>14618</v>
      </c>
      <c r="K4624" s="4" t="s">
        <v>14714</v>
      </c>
      <c r="L4624" s="5">
        <v>74132</v>
      </c>
    </row>
    <row r="4625" spans="1:12" x14ac:dyDescent="0.25">
      <c r="A4625" s="3" t="s">
        <v>13772</v>
      </c>
      <c r="B4625" s="4" t="s">
        <v>14583</v>
      </c>
      <c r="C4625" s="4" t="s">
        <v>14</v>
      </c>
      <c r="D4625" s="4" t="s">
        <v>452</v>
      </c>
      <c r="E4625" s="5" t="str">
        <f>"9410150"</f>
        <v>9410150</v>
      </c>
      <c r="F4625" s="3" t="s">
        <v>14715</v>
      </c>
      <c r="G4625" s="5">
        <v>2831052969</v>
      </c>
      <c r="H4625" s="4" t="s">
        <v>14716</v>
      </c>
      <c r="I4625" s="4" t="s">
        <v>14586</v>
      </c>
      <c r="J4625" s="4" t="s">
        <v>14618</v>
      </c>
      <c r="K4625" s="4" t="s">
        <v>14717</v>
      </c>
      <c r="L4625" s="5">
        <v>74100</v>
      </c>
    </row>
    <row r="4626" spans="1:12" ht="45" x14ac:dyDescent="0.25">
      <c r="A4626" s="3" t="s">
        <v>13772</v>
      </c>
      <c r="B4626" s="4" t="s">
        <v>14583</v>
      </c>
      <c r="C4626" s="4" t="s">
        <v>14</v>
      </c>
      <c r="D4626" s="4" t="s">
        <v>15</v>
      </c>
      <c r="E4626" s="5" t="str">
        <f>"9410257"</f>
        <v>9410257</v>
      </c>
      <c r="F4626" s="3" t="s">
        <v>14718</v>
      </c>
      <c r="G4626" s="5">
        <v>2831056242</v>
      </c>
      <c r="H4626" s="4" t="s">
        <v>14719</v>
      </c>
      <c r="I4626" s="4" t="s">
        <v>14586</v>
      </c>
      <c r="J4626" s="4" t="s">
        <v>14618</v>
      </c>
      <c r="K4626" s="4" t="s">
        <v>14683</v>
      </c>
      <c r="L4626" s="5">
        <v>74100</v>
      </c>
    </row>
    <row r="4627" spans="1:12" ht="30" x14ac:dyDescent="0.25">
      <c r="A4627" s="3" t="s">
        <v>13772</v>
      </c>
      <c r="B4627" s="4" t="s">
        <v>14583</v>
      </c>
      <c r="C4627" s="4" t="s">
        <v>14</v>
      </c>
      <c r="D4627" s="4" t="s">
        <v>15</v>
      </c>
      <c r="E4627" s="5" t="str">
        <f>"9410167"</f>
        <v>9410167</v>
      </c>
      <c r="F4627" s="3" t="s">
        <v>14720</v>
      </c>
      <c r="G4627" s="5">
        <v>2831031455</v>
      </c>
      <c r="H4627" s="4" t="s">
        <v>14721</v>
      </c>
      <c r="I4627" s="4" t="s">
        <v>14586</v>
      </c>
      <c r="J4627" s="4" t="s">
        <v>14704</v>
      </c>
      <c r="K4627" s="4" t="s">
        <v>14704</v>
      </c>
      <c r="L4627" s="5">
        <v>74100</v>
      </c>
    </row>
    <row r="4628" spans="1:12" ht="30" x14ac:dyDescent="0.25">
      <c r="A4628" s="3" t="s">
        <v>13772</v>
      </c>
      <c r="B4628" s="4" t="s">
        <v>14583</v>
      </c>
      <c r="C4628" s="4" t="s">
        <v>14</v>
      </c>
      <c r="D4628" s="4" t="s">
        <v>15</v>
      </c>
      <c r="E4628" s="5" t="str">
        <f>"9410166"</f>
        <v>9410166</v>
      </c>
      <c r="F4628" s="3" t="s">
        <v>14722</v>
      </c>
      <c r="G4628" s="5">
        <v>2831031311</v>
      </c>
      <c r="H4628" s="4" t="s">
        <v>14723</v>
      </c>
      <c r="I4628" s="4" t="s">
        <v>14586</v>
      </c>
      <c r="J4628" s="4" t="s">
        <v>14698</v>
      </c>
      <c r="K4628" s="4" t="s">
        <v>14698</v>
      </c>
      <c r="L4628" s="5">
        <v>74100</v>
      </c>
    </row>
    <row r="4629" spans="1:12" x14ac:dyDescent="0.25">
      <c r="A4629" s="3" t="s">
        <v>13772</v>
      </c>
      <c r="B4629" s="4" t="s">
        <v>14583</v>
      </c>
      <c r="C4629" s="4" t="s">
        <v>14</v>
      </c>
      <c r="D4629" s="4" t="s">
        <v>15</v>
      </c>
      <c r="E4629" s="5" t="str">
        <f>"9410114"</f>
        <v>9410114</v>
      </c>
      <c r="F4629" s="3" t="s">
        <v>14724</v>
      </c>
      <c r="G4629" s="5">
        <v>2832031291</v>
      </c>
      <c r="H4629" s="4" t="s">
        <v>14725</v>
      </c>
      <c r="I4629" s="4" t="s">
        <v>14679</v>
      </c>
      <c r="J4629" s="4" t="s">
        <v>14726</v>
      </c>
      <c r="K4629" s="4" t="s">
        <v>14726</v>
      </c>
      <c r="L4629" s="5">
        <v>74060</v>
      </c>
    </row>
    <row r="4630" spans="1:12" ht="30" x14ac:dyDescent="0.25">
      <c r="A4630" s="3" t="s">
        <v>13772</v>
      </c>
      <c r="B4630" s="4" t="s">
        <v>14583</v>
      </c>
      <c r="C4630" s="4" t="s">
        <v>14</v>
      </c>
      <c r="D4630" s="4" t="s">
        <v>15</v>
      </c>
      <c r="E4630" s="5" t="str">
        <f>"9410169"</f>
        <v>9410169</v>
      </c>
      <c r="F4630" s="3" t="s">
        <v>14727</v>
      </c>
      <c r="G4630" s="5">
        <v>2831031123</v>
      </c>
      <c r="H4630" s="4" t="s">
        <v>14728</v>
      </c>
      <c r="I4630" s="4" t="s">
        <v>14586</v>
      </c>
      <c r="J4630" s="4" t="s">
        <v>14701</v>
      </c>
      <c r="K4630" s="4" t="s">
        <v>14729</v>
      </c>
      <c r="L4630" s="5">
        <v>74132</v>
      </c>
    </row>
    <row r="4631" spans="1:12" x14ac:dyDescent="0.25">
      <c r="A4631" s="3" t="s">
        <v>13772</v>
      </c>
      <c r="B4631" s="4" t="s">
        <v>14583</v>
      </c>
      <c r="C4631" s="4" t="s">
        <v>14</v>
      </c>
      <c r="D4631" s="4" t="s">
        <v>15</v>
      </c>
      <c r="E4631" s="5" t="str">
        <f>"9410160"</f>
        <v>9410160</v>
      </c>
      <c r="F4631" s="3" t="s">
        <v>14730</v>
      </c>
      <c r="G4631" s="5">
        <v>2831041098</v>
      </c>
      <c r="H4631" s="4" t="s">
        <v>14731</v>
      </c>
      <c r="I4631" s="4" t="s">
        <v>14586</v>
      </c>
      <c r="J4631" s="4" t="s">
        <v>14732</v>
      </c>
      <c r="K4631" s="4" t="s">
        <v>14733</v>
      </c>
      <c r="L4631" s="5">
        <v>74100</v>
      </c>
    </row>
    <row r="4632" spans="1:12" ht="30" x14ac:dyDescent="0.25">
      <c r="A4632" s="3" t="s">
        <v>13772</v>
      </c>
      <c r="B4632" s="4" t="s">
        <v>14583</v>
      </c>
      <c r="C4632" s="4" t="s">
        <v>25</v>
      </c>
      <c r="D4632" s="4" t="s">
        <v>26</v>
      </c>
      <c r="E4632" s="5" t="str">
        <f>"9410032"</f>
        <v>9410032</v>
      </c>
      <c r="F4632" s="3" t="s">
        <v>14734</v>
      </c>
      <c r="G4632" s="5">
        <v>2834061284</v>
      </c>
      <c r="H4632" s="4" t="s">
        <v>14735</v>
      </c>
      <c r="I4632" s="4" t="s">
        <v>14635</v>
      </c>
      <c r="J4632" s="4" t="s">
        <v>14736</v>
      </c>
      <c r="K4632" s="4" t="s">
        <v>14663</v>
      </c>
      <c r="L4632" s="5">
        <v>74051</v>
      </c>
    </row>
    <row r="4633" spans="1:12" ht="30" x14ac:dyDescent="0.25">
      <c r="A4633" s="3" t="s">
        <v>13772</v>
      </c>
      <c r="B4633" s="4" t="s">
        <v>14583</v>
      </c>
      <c r="C4633" s="4" t="s">
        <v>14</v>
      </c>
      <c r="D4633" s="4" t="s">
        <v>15</v>
      </c>
      <c r="E4633" s="5" t="str">
        <f>"9410180"</f>
        <v>9410180</v>
      </c>
      <c r="F4633" s="3" t="s">
        <v>14737</v>
      </c>
      <c r="G4633" s="5">
        <v>2831031206</v>
      </c>
      <c r="H4633" s="4" t="s">
        <v>14738</v>
      </c>
      <c r="I4633" s="4" t="s">
        <v>14586</v>
      </c>
      <c r="J4633" s="4" t="s">
        <v>14692</v>
      </c>
      <c r="K4633" s="4" t="s">
        <v>14692</v>
      </c>
      <c r="L4633" s="5">
        <v>74100</v>
      </c>
    </row>
    <row r="4634" spans="1:12" ht="30" x14ac:dyDescent="0.25">
      <c r="A4634" s="3" t="s">
        <v>13772</v>
      </c>
      <c r="B4634" s="4" t="s">
        <v>14583</v>
      </c>
      <c r="C4634" s="4" t="s">
        <v>14</v>
      </c>
      <c r="D4634" s="4" t="s">
        <v>15</v>
      </c>
      <c r="E4634" s="5" t="str">
        <f>"9410212"</f>
        <v>9410212</v>
      </c>
      <c r="F4634" s="3" t="s">
        <v>14739</v>
      </c>
      <c r="G4634" s="5">
        <v>2831022132</v>
      </c>
      <c r="H4634" s="4" t="s">
        <v>14740</v>
      </c>
      <c r="I4634" s="4" t="s">
        <v>14586</v>
      </c>
      <c r="J4634" s="4" t="s">
        <v>14618</v>
      </c>
      <c r="K4634" s="4" t="s">
        <v>14741</v>
      </c>
      <c r="L4634" s="5">
        <v>74132</v>
      </c>
    </row>
    <row r="4635" spans="1:12" ht="30" x14ac:dyDescent="0.25">
      <c r="A4635" s="3" t="s">
        <v>13772</v>
      </c>
      <c r="B4635" s="4" t="s">
        <v>14583</v>
      </c>
      <c r="C4635" s="4" t="s">
        <v>25</v>
      </c>
      <c r="D4635" s="4" t="s">
        <v>26</v>
      </c>
      <c r="E4635" s="5" t="str">
        <f>"9410258"</f>
        <v>9410258</v>
      </c>
      <c r="F4635" s="3" t="s">
        <v>14742</v>
      </c>
      <c r="G4635" s="5">
        <v>2831022058</v>
      </c>
      <c r="H4635" s="4" t="s">
        <v>14743</v>
      </c>
      <c r="I4635" s="4" t="s">
        <v>14586</v>
      </c>
      <c r="J4635" s="4" t="s">
        <v>14591</v>
      </c>
      <c r="K4635" s="4" t="s">
        <v>14744</v>
      </c>
      <c r="L4635" s="5">
        <v>74100</v>
      </c>
    </row>
    <row r="4636" spans="1:12" ht="30" x14ac:dyDescent="0.25">
      <c r="A4636" s="3" t="s">
        <v>13772</v>
      </c>
      <c r="B4636" s="4" t="s">
        <v>14583</v>
      </c>
      <c r="C4636" s="4" t="s">
        <v>14</v>
      </c>
      <c r="D4636" s="4" t="s">
        <v>15</v>
      </c>
      <c r="E4636" s="5" t="str">
        <f>"9410263"</f>
        <v>9410263</v>
      </c>
      <c r="F4636" s="3" t="s">
        <v>14745</v>
      </c>
      <c r="G4636" s="5">
        <v>2831053818</v>
      </c>
      <c r="H4636" s="4" t="s">
        <v>14746</v>
      </c>
      <c r="I4636" s="4" t="s">
        <v>14586</v>
      </c>
      <c r="J4636" s="4" t="s">
        <v>14618</v>
      </c>
      <c r="K4636" s="4" t="s">
        <v>14747</v>
      </c>
      <c r="L4636" s="5">
        <v>74132</v>
      </c>
    </row>
    <row r="4637" spans="1:12" ht="45" x14ac:dyDescent="0.25">
      <c r="A4637" s="3" t="s">
        <v>13772</v>
      </c>
      <c r="B4637" s="4" t="s">
        <v>14583</v>
      </c>
      <c r="C4637" s="4" t="s">
        <v>14</v>
      </c>
      <c r="D4637" s="4" t="s">
        <v>15</v>
      </c>
      <c r="E4637" s="5" t="str">
        <f>"9521348"</f>
        <v>9521348</v>
      </c>
      <c r="F4637" s="3" t="s">
        <v>14748</v>
      </c>
      <c r="G4637" s="5">
        <v>2831021334</v>
      </c>
      <c r="H4637" s="4" t="s">
        <v>14749</v>
      </c>
      <c r="I4637" s="4" t="s">
        <v>14586</v>
      </c>
      <c r="J4637" s="4" t="s">
        <v>14698</v>
      </c>
      <c r="K4637" s="4" t="s">
        <v>14750</v>
      </c>
      <c r="L4637" s="5">
        <v>74100</v>
      </c>
    </row>
    <row r="4638" spans="1:12" x14ac:dyDescent="0.25">
      <c r="A4638" s="3" t="s">
        <v>13772</v>
      </c>
      <c r="B4638" s="4" t="s">
        <v>14583</v>
      </c>
      <c r="C4638" s="4" t="s">
        <v>25</v>
      </c>
      <c r="D4638" s="4" t="s">
        <v>26</v>
      </c>
      <c r="E4638" s="5" t="str">
        <f>"9521304"</f>
        <v>9521304</v>
      </c>
      <c r="F4638" s="3" t="s">
        <v>14751</v>
      </c>
      <c r="G4638" s="5">
        <v>2831057099</v>
      </c>
      <c r="H4638" s="4" t="s">
        <v>14752</v>
      </c>
      <c r="I4638" s="4" t="s">
        <v>14586</v>
      </c>
      <c r="J4638" s="4" t="s">
        <v>14753</v>
      </c>
      <c r="K4638" s="4" t="s">
        <v>14754</v>
      </c>
      <c r="L4638" s="5">
        <v>74132</v>
      </c>
    </row>
    <row r="4639" spans="1:12" ht="30" x14ac:dyDescent="0.25">
      <c r="A4639" s="3" t="s">
        <v>13772</v>
      </c>
      <c r="B4639" s="4" t="s">
        <v>14583</v>
      </c>
      <c r="C4639" s="4" t="s">
        <v>14</v>
      </c>
      <c r="D4639" s="4" t="s">
        <v>15</v>
      </c>
      <c r="E4639" s="5" t="str">
        <f>"9410170"</f>
        <v>9410170</v>
      </c>
      <c r="F4639" s="3" t="s">
        <v>14755</v>
      </c>
      <c r="G4639" s="5">
        <v>2831061220</v>
      </c>
      <c r="H4639" s="4" t="s">
        <v>14756</v>
      </c>
      <c r="I4639" s="4" t="s">
        <v>14586</v>
      </c>
      <c r="J4639" s="4" t="s">
        <v>14003</v>
      </c>
      <c r="K4639" s="4" t="s">
        <v>14757</v>
      </c>
      <c r="L4639" s="5">
        <v>74055</v>
      </c>
    </row>
    <row r="4640" spans="1:12" ht="30" x14ac:dyDescent="0.25">
      <c r="A4640" s="3" t="s">
        <v>13772</v>
      </c>
      <c r="B4640" s="4" t="s">
        <v>14583</v>
      </c>
      <c r="C4640" s="4" t="s">
        <v>14</v>
      </c>
      <c r="D4640" s="4" t="s">
        <v>15</v>
      </c>
      <c r="E4640" s="5" t="str">
        <f>"9410030"</f>
        <v>9410030</v>
      </c>
      <c r="F4640" s="3" t="s">
        <v>14758</v>
      </c>
      <c r="G4640" s="5">
        <v>2834093217</v>
      </c>
      <c r="H4640" s="4" t="s">
        <v>14759</v>
      </c>
      <c r="I4640" s="4" t="s">
        <v>14586</v>
      </c>
      <c r="J4640" s="4" t="s">
        <v>13560</v>
      </c>
      <c r="K4640" s="4" t="s">
        <v>14760</v>
      </c>
      <c r="L4640" s="5">
        <v>74052</v>
      </c>
    </row>
    <row r="4641" spans="1:12" x14ac:dyDescent="0.25">
      <c r="A4641" s="3" t="s">
        <v>13772</v>
      </c>
      <c r="B4641" s="4" t="s">
        <v>14583</v>
      </c>
      <c r="C4641" s="4" t="s">
        <v>25</v>
      </c>
      <c r="D4641" s="4" t="s">
        <v>26</v>
      </c>
      <c r="E4641" s="5" t="str">
        <f>"9410237"</f>
        <v>9410237</v>
      </c>
      <c r="F4641" s="3" t="s">
        <v>14761</v>
      </c>
      <c r="G4641" s="5">
        <v>2834093305</v>
      </c>
      <c r="H4641" s="4" t="s">
        <v>14762</v>
      </c>
      <c r="I4641" s="4" t="s">
        <v>14586</v>
      </c>
      <c r="J4641" s="4" t="s">
        <v>13624</v>
      </c>
      <c r="K4641" s="4" t="s">
        <v>13560</v>
      </c>
      <c r="L4641" s="5">
        <v>74052</v>
      </c>
    </row>
    <row r="4642" spans="1:12" x14ac:dyDescent="0.25">
      <c r="A4642" s="3" t="s">
        <v>13772</v>
      </c>
      <c r="B4642" s="4" t="s">
        <v>14583</v>
      </c>
      <c r="C4642" s="4" t="s">
        <v>14</v>
      </c>
      <c r="D4642" s="4" t="s">
        <v>15</v>
      </c>
      <c r="E4642" s="5" t="str">
        <f>"9410051"</f>
        <v>9410051</v>
      </c>
      <c r="F4642" s="3" t="s">
        <v>14763</v>
      </c>
      <c r="G4642" s="5">
        <v>2834022247</v>
      </c>
      <c r="H4642" s="4" t="s">
        <v>14764</v>
      </c>
      <c r="I4642" s="4" t="s">
        <v>14635</v>
      </c>
      <c r="J4642" s="4" t="s">
        <v>6006</v>
      </c>
      <c r="K4642" s="4" t="s">
        <v>6006</v>
      </c>
      <c r="L4642" s="5">
        <v>74052</v>
      </c>
    </row>
    <row r="4643" spans="1:12" ht="30" x14ac:dyDescent="0.25">
      <c r="A4643" s="3" t="s">
        <v>13772</v>
      </c>
      <c r="B4643" s="4" t="s">
        <v>14583</v>
      </c>
      <c r="C4643" s="4" t="s">
        <v>25</v>
      </c>
      <c r="D4643" s="4" t="s">
        <v>26</v>
      </c>
      <c r="E4643" s="5" t="str">
        <f>"9410050"</f>
        <v>9410050</v>
      </c>
      <c r="F4643" s="3" t="s">
        <v>14765</v>
      </c>
      <c r="G4643" s="5">
        <v>2834022518</v>
      </c>
      <c r="H4643" s="4" t="s">
        <v>14766</v>
      </c>
      <c r="I4643" s="4" t="s">
        <v>14635</v>
      </c>
      <c r="J4643" s="4" t="s">
        <v>6006</v>
      </c>
      <c r="K4643" s="4" t="s">
        <v>6006</v>
      </c>
      <c r="L4643" s="5">
        <v>74052</v>
      </c>
    </row>
    <row r="4644" spans="1:12" ht="30" x14ac:dyDescent="0.25">
      <c r="A4644" s="3" t="s">
        <v>13772</v>
      </c>
      <c r="B4644" s="4" t="s">
        <v>14583</v>
      </c>
      <c r="C4644" s="4" t="s">
        <v>25</v>
      </c>
      <c r="D4644" s="4" t="s">
        <v>26</v>
      </c>
      <c r="E4644" s="5" t="str">
        <f>"9410260"</f>
        <v>9410260</v>
      </c>
      <c r="F4644" s="3" t="s">
        <v>14767</v>
      </c>
      <c r="G4644" s="5">
        <v>2834023621</v>
      </c>
      <c r="H4644" s="4" t="s">
        <v>14768</v>
      </c>
      <c r="I4644" s="4" t="s">
        <v>14635</v>
      </c>
      <c r="J4644" s="4" t="s">
        <v>5689</v>
      </c>
      <c r="K4644" s="4" t="s">
        <v>6006</v>
      </c>
      <c r="L4644" s="5">
        <v>74052</v>
      </c>
    </row>
    <row r="4645" spans="1:12" x14ac:dyDescent="0.25">
      <c r="A4645" s="3" t="s">
        <v>13772</v>
      </c>
      <c r="B4645" s="4" t="s">
        <v>14583</v>
      </c>
      <c r="C4645" s="4" t="s">
        <v>25</v>
      </c>
      <c r="D4645" s="4" t="s">
        <v>26</v>
      </c>
      <c r="E4645" s="5" t="str">
        <f>"9521640"</f>
        <v>9521640</v>
      </c>
      <c r="F4645" s="3" t="s">
        <v>14769</v>
      </c>
      <c r="G4645" s="5">
        <v>2831022274</v>
      </c>
      <c r="H4645" s="4" t="s">
        <v>14770</v>
      </c>
      <c r="I4645" s="4" t="s">
        <v>14586</v>
      </c>
      <c r="J4645" s="4" t="s">
        <v>14698</v>
      </c>
      <c r="K4645" s="4" t="s">
        <v>14771</v>
      </c>
      <c r="L4645" s="5">
        <v>74100</v>
      </c>
    </row>
    <row r="4646" spans="1:12" x14ac:dyDescent="0.25">
      <c r="A4646" s="3" t="s">
        <v>13772</v>
      </c>
      <c r="B4646" s="4" t="s">
        <v>14772</v>
      </c>
      <c r="C4646" s="4" t="s">
        <v>25</v>
      </c>
      <c r="D4646" s="4" t="s">
        <v>26</v>
      </c>
      <c r="E4646" s="5" t="str">
        <f>"9500323"</f>
        <v>9500323</v>
      </c>
      <c r="F4646" s="3" t="s">
        <v>14773</v>
      </c>
      <c r="G4646" s="5">
        <v>2825091115</v>
      </c>
      <c r="H4646" s="4" t="s">
        <v>14774</v>
      </c>
      <c r="I4646" s="4" t="s">
        <v>14775</v>
      </c>
      <c r="J4646" s="4" t="s">
        <v>14776</v>
      </c>
      <c r="K4646" s="4" t="s">
        <v>14777</v>
      </c>
      <c r="L4646" s="5">
        <v>73011</v>
      </c>
    </row>
    <row r="4647" spans="1:12" x14ac:dyDescent="0.25">
      <c r="A4647" s="3" t="s">
        <v>13772</v>
      </c>
      <c r="B4647" s="4" t="s">
        <v>14772</v>
      </c>
      <c r="C4647" s="4" t="s">
        <v>14</v>
      </c>
      <c r="D4647" s="4" t="s">
        <v>15</v>
      </c>
      <c r="E4647" s="5" t="str">
        <f>"9500126"</f>
        <v>9500126</v>
      </c>
      <c r="F4647" s="3" t="s">
        <v>14778</v>
      </c>
      <c r="G4647" s="5">
        <v>2824031229</v>
      </c>
      <c r="H4647" s="4" t="s">
        <v>14779</v>
      </c>
      <c r="I4647" s="4" t="s">
        <v>14601</v>
      </c>
      <c r="J4647" s="4" t="s">
        <v>14780</v>
      </c>
      <c r="K4647" s="4" t="s">
        <v>14781</v>
      </c>
      <c r="L4647" s="5">
        <v>73002</v>
      </c>
    </row>
    <row r="4648" spans="1:12" x14ac:dyDescent="0.25">
      <c r="A4648" s="3" t="s">
        <v>13772</v>
      </c>
      <c r="B4648" s="4" t="s">
        <v>14772</v>
      </c>
      <c r="C4648" s="4" t="s">
        <v>25</v>
      </c>
      <c r="D4648" s="4" t="s">
        <v>26</v>
      </c>
      <c r="E4648" s="5" t="str">
        <f>"9500136"</f>
        <v>9500136</v>
      </c>
      <c r="F4648" s="3" t="s">
        <v>14782</v>
      </c>
      <c r="G4648" s="5">
        <v>2821092159</v>
      </c>
      <c r="H4648" s="4" t="s">
        <v>14783</v>
      </c>
      <c r="I4648" s="4" t="s">
        <v>14784</v>
      </c>
      <c r="J4648" s="4" t="s">
        <v>14784</v>
      </c>
      <c r="K4648" s="4" t="s">
        <v>14785</v>
      </c>
      <c r="L4648" s="5">
        <v>73131</v>
      </c>
    </row>
    <row r="4649" spans="1:12" x14ac:dyDescent="0.25">
      <c r="A4649" s="3" t="s">
        <v>13772</v>
      </c>
      <c r="B4649" s="4" t="s">
        <v>14772</v>
      </c>
      <c r="C4649" s="4" t="s">
        <v>25</v>
      </c>
      <c r="D4649" s="4" t="s">
        <v>26</v>
      </c>
      <c r="E4649" s="5" t="str">
        <f>"9500368"</f>
        <v>9500368</v>
      </c>
      <c r="F4649" s="3" t="s">
        <v>14786</v>
      </c>
      <c r="G4649" s="5">
        <v>2821031690</v>
      </c>
      <c r="H4649" s="4" t="s">
        <v>14787</v>
      </c>
      <c r="I4649" s="4" t="s">
        <v>14784</v>
      </c>
      <c r="J4649" s="4" t="s">
        <v>14788</v>
      </c>
      <c r="K4649" s="4" t="s">
        <v>14789</v>
      </c>
      <c r="L4649" s="5">
        <v>73100</v>
      </c>
    </row>
    <row r="4650" spans="1:12" x14ac:dyDescent="0.25">
      <c r="A4650" s="3" t="s">
        <v>13772</v>
      </c>
      <c r="B4650" s="4" t="s">
        <v>14772</v>
      </c>
      <c r="C4650" s="4" t="s">
        <v>14</v>
      </c>
      <c r="D4650" s="4" t="s">
        <v>179</v>
      </c>
      <c r="E4650" s="5" t="str">
        <f>"9500080"</f>
        <v>9500080</v>
      </c>
      <c r="F4650" s="3" t="s">
        <v>14790</v>
      </c>
      <c r="G4650" s="5">
        <v>2821077880</v>
      </c>
      <c r="H4650" s="4" t="s">
        <v>14791</v>
      </c>
      <c r="I4650" s="4" t="s">
        <v>14784</v>
      </c>
      <c r="J4650" s="4" t="s">
        <v>9435</v>
      </c>
      <c r="K4650" s="4" t="s">
        <v>14792</v>
      </c>
      <c r="L4650" s="5">
        <v>73005</v>
      </c>
    </row>
    <row r="4651" spans="1:12" x14ac:dyDescent="0.25">
      <c r="A4651" s="3" t="s">
        <v>13772</v>
      </c>
      <c r="B4651" s="4" t="s">
        <v>14772</v>
      </c>
      <c r="C4651" s="4" t="s">
        <v>25</v>
      </c>
      <c r="D4651" s="4" t="s">
        <v>26</v>
      </c>
      <c r="E4651" s="5" t="str">
        <f>"9500047"</f>
        <v>9500047</v>
      </c>
      <c r="F4651" s="3" t="s">
        <v>14793</v>
      </c>
      <c r="G4651" s="5">
        <v>2821089155</v>
      </c>
      <c r="H4651" s="4" t="s">
        <v>14794</v>
      </c>
      <c r="I4651" s="4" t="s">
        <v>14784</v>
      </c>
      <c r="J4651" s="4" t="s">
        <v>14795</v>
      </c>
      <c r="K4651" s="4" t="s">
        <v>14796</v>
      </c>
      <c r="L4651" s="5">
        <v>73200</v>
      </c>
    </row>
    <row r="4652" spans="1:12" x14ac:dyDescent="0.25">
      <c r="A4652" s="3" t="s">
        <v>13772</v>
      </c>
      <c r="B4652" s="4" t="s">
        <v>14772</v>
      </c>
      <c r="C4652" s="4" t="s">
        <v>14</v>
      </c>
      <c r="D4652" s="4" t="s">
        <v>15</v>
      </c>
      <c r="E4652" s="5" t="str">
        <f>"9500021"</f>
        <v>9500021</v>
      </c>
      <c r="F4652" s="3" t="s">
        <v>14797</v>
      </c>
      <c r="G4652" s="5">
        <v>2825096298</v>
      </c>
      <c r="H4652" s="4" t="s">
        <v>14798</v>
      </c>
      <c r="I4652" s="4" t="s">
        <v>14799</v>
      </c>
      <c r="J4652" s="4" t="s">
        <v>14800</v>
      </c>
      <c r="K4652" s="4" t="s">
        <v>14801</v>
      </c>
      <c r="L4652" s="5">
        <v>73007</v>
      </c>
    </row>
    <row r="4653" spans="1:12" x14ac:dyDescent="0.25">
      <c r="A4653" s="3" t="s">
        <v>13772</v>
      </c>
      <c r="B4653" s="4" t="s">
        <v>14772</v>
      </c>
      <c r="C4653" s="4" t="s">
        <v>14</v>
      </c>
      <c r="D4653" s="4" t="s">
        <v>15</v>
      </c>
      <c r="E4653" s="5" t="str">
        <f>"9500107"</f>
        <v>9500107</v>
      </c>
      <c r="F4653" s="3" t="s">
        <v>14802</v>
      </c>
      <c r="G4653" s="5">
        <v>2821093730</v>
      </c>
      <c r="H4653" s="4" t="s">
        <v>14803</v>
      </c>
      <c r="I4653" s="4" t="s">
        <v>14784</v>
      </c>
      <c r="J4653" s="4" t="s">
        <v>14804</v>
      </c>
      <c r="K4653" s="4" t="s">
        <v>14804</v>
      </c>
      <c r="L4653" s="5">
        <v>73100</v>
      </c>
    </row>
    <row r="4654" spans="1:12" x14ac:dyDescent="0.25">
      <c r="A4654" s="3" t="s">
        <v>13772</v>
      </c>
      <c r="B4654" s="4" t="s">
        <v>14772</v>
      </c>
      <c r="C4654" s="4" t="s">
        <v>14</v>
      </c>
      <c r="D4654" s="4" t="s">
        <v>15</v>
      </c>
      <c r="E4654" s="5" t="str">
        <f>"9500055"</f>
        <v>9500055</v>
      </c>
      <c r="F4654" s="3" t="s">
        <v>14805</v>
      </c>
      <c r="G4654" s="5">
        <v>2825092237</v>
      </c>
      <c r="H4654" s="4" t="s">
        <v>14806</v>
      </c>
      <c r="I4654" s="4" t="s">
        <v>14775</v>
      </c>
      <c r="J4654" s="4" t="s">
        <v>14807</v>
      </c>
      <c r="K4654" s="4" t="s">
        <v>14808</v>
      </c>
      <c r="L4654" s="5">
        <v>73011</v>
      </c>
    </row>
    <row r="4655" spans="1:12" x14ac:dyDescent="0.25">
      <c r="A4655" s="3" t="s">
        <v>13772</v>
      </c>
      <c r="B4655" s="4" t="s">
        <v>14772</v>
      </c>
      <c r="C4655" s="4" t="s">
        <v>14</v>
      </c>
      <c r="D4655" s="4" t="s">
        <v>15</v>
      </c>
      <c r="E4655" s="5" t="str">
        <f>"9500148"</f>
        <v>9500148</v>
      </c>
      <c r="F4655" s="3" t="s">
        <v>14809</v>
      </c>
      <c r="G4655" s="5">
        <v>2821068328</v>
      </c>
      <c r="H4655" s="4" t="s">
        <v>14810</v>
      </c>
      <c r="I4655" s="4" t="s">
        <v>14784</v>
      </c>
      <c r="J4655" s="4" t="s">
        <v>14811</v>
      </c>
      <c r="K4655" s="4" t="s">
        <v>14812</v>
      </c>
      <c r="L4655" s="5">
        <v>73014</v>
      </c>
    </row>
    <row r="4656" spans="1:12" x14ac:dyDescent="0.25">
      <c r="A4656" s="3" t="s">
        <v>13772</v>
      </c>
      <c r="B4656" s="4" t="s">
        <v>14772</v>
      </c>
      <c r="C4656" s="4" t="s">
        <v>25</v>
      </c>
      <c r="D4656" s="4" t="s">
        <v>26</v>
      </c>
      <c r="E4656" s="5" t="str">
        <f>"9500382"</f>
        <v>9500382</v>
      </c>
      <c r="F4656" s="3" t="s">
        <v>14813</v>
      </c>
      <c r="G4656" s="5">
        <v>2821062343</v>
      </c>
      <c r="H4656" s="4" t="s">
        <v>14814</v>
      </c>
      <c r="I4656" s="4" t="s">
        <v>14601</v>
      </c>
      <c r="J4656" s="4" t="s">
        <v>14815</v>
      </c>
      <c r="K4656" s="4" t="s">
        <v>14815</v>
      </c>
      <c r="L4656" s="5">
        <v>73014</v>
      </c>
    </row>
    <row r="4657" spans="1:12" x14ac:dyDescent="0.25">
      <c r="A4657" s="3" t="s">
        <v>13772</v>
      </c>
      <c r="B4657" s="4" t="s">
        <v>14772</v>
      </c>
      <c r="C4657" s="4" t="s">
        <v>25</v>
      </c>
      <c r="D4657" s="4" t="s">
        <v>26</v>
      </c>
      <c r="E4657" s="5" t="str">
        <f>"9500410"</f>
        <v>9500410</v>
      </c>
      <c r="F4657" s="3" t="s">
        <v>14816</v>
      </c>
      <c r="G4657" s="5">
        <v>2825095296</v>
      </c>
      <c r="H4657" s="4" t="s">
        <v>14817</v>
      </c>
      <c r="I4657" s="4" t="s">
        <v>14775</v>
      </c>
      <c r="J4657" s="4" t="s">
        <v>14818</v>
      </c>
      <c r="K4657" s="4" t="s">
        <v>14819</v>
      </c>
      <c r="L4657" s="5">
        <v>73013</v>
      </c>
    </row>
    <row r="4658" spans="1:12" x14ac:dyDescent="0.25">
      <c r="A4658" s="3" t="s">
        <v>13772</v>
      </c>
      <c r="B4658" s="4" t="s">
        <v>14772</v>
      </c>
      <c r="C4658" s="4" t="s">
        <v>25</v>
      </c>
      <c r="D4658" s="4" t="s">
        <v>26</v>
      </c>
      <c r="E4658" s="5" t="str">
        <f>"9500271"</f>
        <v>9500271</v>
      </c>
      <c r="F4658" s="3" t="s">
        <v>14820</v>
      </c>
      <c r="G4658" s="5">
        <v>2821038248</v>
      </c>
      <c r="H4658" s="4" t="s">
        <v>14821</v>
      </c>
      <c r="I4658" s="4" t="s">
        <v>14784</v>
      </c>
      <c r="J4658" s="4" t="s">
        <v>14822</v>
      </c>
      <c r="K4658" s="4" t="s">
        <v>2485</v>
      </c>
      <c r="L4658" s="5">
        <v>73014</v>
      </c>
    </row>
    <row r="4659" spans="1:12" x14ac:dyDescent="0.25">
      <c r="A4659" s="3" t="s">
        <v>13772</v>
      </c>
      <c r="B4659" s="4" t="s">
        <v>14772</v>
      </c>
      <c r="C4659" s="4" t="s">
        <v>25</v>
      </c>
      <c r="D4659" s="4" t="s">
        <v>26</v>
      </c>
      <c r="E4659" s="5" t="str">
        <f>"9500371"</f>
        <v>9500371</v>
      </c>
      <c r="F4659" s="3" t="s">
        <v>14823</v>
      </c>
      <c r="G4659" s="5">
        <v>2821092925</v>
      </c>
      <c r="H4659" s="4" t="s">
        <v>14824</v>
      </c>
      <c r="I4659" s="4" t="s">
        <v>14784</v>
      </c>
      <c r="J4659" s="4" t="s">
        <v>14825</v>
      </c>
      <c r="K4659" s="4" t="s">
        <v>14826</v>
      </c>
      <c r="L4659" s="5">
        <v>73300</v>
      </c>
    </row>
    <row r="4660" spans="1:12" x14ac:dyDescent="0.25">
      <c r="A4660" s="3" t="s">
        <v>13772</v>
      </c>
      <c r="B4660" s="4" t="s">
        <v>14772</v>
      </c>
      <c r="C4660" s="4" t="s">
        <v>25</v>
      </c>
      <c r="D4660" s="4" t="s">
        <v>26</v>
      </c>
      <c r="E4660" s="5" t="str">
        <f>"9500395"</f>
        <v>9500395</v>
      </c>
      <c r="F4660" s="3" t="s">
        <v>14827</v>
      </c>
      <c r="G4660" s="5">
        <v>2821091004</v>
      </c>
      <c r="H4660" s="4" t="s">
        <v>14828</v>
      </c>
      <c r="I4660" s="4" t="s">
        <v>14784</v>
      </c>
      <c r="J4660" s="4" t="s">
        <v>14829</v>
      </c>
      <c r="K4660" s="4" t="s">
        <v>14830</v>
      </c>
      <c r="L4660" s="5">
        <v>73100</v>
      </c>
    </row>
    <row r="4661" spans="1:12" x14ac:dyDescent="0.25">
      <c r="A4661" s="3" t="s">
        <v>13772</v>
      </c>
      <c r="B4661" s="4" t="s">
        <v>14772</v>
      </c>
      <c r="C4661" s="4" t="s">
        <v>25</v>
      </c>
      <c r="D4661" s="4" t="s">
        <v>26</v>
      </c>
      <c r="E4661" s="5" t="str">
        <f>"9500138"</f>
        <v>9500138</v>
      </c>
      <c r="F4661" s="3" t="s">
        <v>14831</v>
      </c>
      <c r="G4661" s="5">
        <v>2821095071</v>
      </c>
      <c r="H4661" s="4" t="s">
        <v>14832</v>
      </c>
      <c r="I4661" s="4" t="s">
        <v>14784</v>
      </c>
      <c r="J4661" s="4" t="s">
        <v>14833</v>
      </c>
      <c r="K4661" s="4" t="s">
        <v>14834</v>
      </c>
      <c r="L4661" s="5">
        <v>73131</v>
      </c>
    </row>
    <row r="4662" spans="1:12" x14ac:dyDescent="0.25">
      <c r="A4662" s="3" t="s">
        <v>13772</v>
      </c>
      <c r="B4662" s="4" t="s">
        <v>14772</v>
      </c>
      <c r="C4662" s="4" t="s">
        <v>25</v>
      </c>
      <c r="D4662" s="4" t="s">
        <v>26</v>
      </c>
      <c r="E4662" s="5" t="str">
        <f>"9500370"</f>
        <v>9500370</v>
      </c>
      <c r="F4662" s="3" t="s">
        <v>14835</v>
      </c>
      <c r="G4662" s="5">
        <v>2821093892</v>
      </c>
      <c r="H4662" s="4" t="s">
        <v>14836</v>
      </c>
      <c r="I4662" s="4" t="s">
        <v>14784</v>
      </c>
      <c r="J4662" s="4" t="s">
        <v>14825</v>
      </c>
      <c r="K4662" s="4" t="s">
        <v>14837</v>
      </c>
      <c r="L4662" s="5">
        <v>73300</v>
      </c>
    </row>
    <row r="4663" spans="1:12" x14ac:dyDescent="0.25">
      <c r="A4663" s="3" t="s">
        <v>13772</v>
      </c>
      <c r="B4663" s="4" t="s">
        <v>14772</v>
      </c>
      <c r="C4663" s="4" t="s">
        <v>25</v>
      </c>
      <c r="D4663" s="4" t="s">
        <v>26</v>
      </c>
      <c r="E4663" s="5" t="str">
        <f>"9500308"</f>
        <v>9500308</v>
      </c>
      <c r="F4663" s="3" t="s">
        <v>14838</v>
      </c>
      <c r="G4663" s="5">
        <v>2825092360</v>
      </c>
      <c r="H4663" s="4" t="s">
        <v>14839</v>
      </c>
      <c r="I4663" s="4" t="s">
        <v>14775</v>
      </c>
      <c r="J4663" s="4" t="s">
        <v>14807</v>
      </c>
      <c r="K4663" s="4" t="s">
        <v>14808</v>
      </c>
      <c r="L4663" s="5">
        <v>73011</v>
      </c>
    </row>
    <row r="4664" spans="1:12" x14ac:dyDescent="0.25">
      <c r="A4664" s="3" t="s">
        <v>13772</v>
      </c>
      <c r="B4664" s="4" t="s">
        <v>14772</v>
      </c>
      <c r="C4664" s="4" t="s">
        <v>25</v>
      </c>
      <c r="D4664" s="4" t="s">
        <v>26</v>
      </c>
      <c r="E4664" s="5" t="str">
        <f>"9500039"</f>
        <v>9500039</v>
      </c>
      <c r="F4664" s="3" t="s">
        <v>14840</v>
      </c>
      <c r="G4664" s="5">
        <v>2821045625</v>
      </c>
      <c r="H4664" s="4" t="s">
        <v>14841</v>
      </c>
      <c r="I4664" s="4" t="s">
        <v>14784</v>
      </c>
      <c r="J4664" s="4" t="s">
        <v>14784</v>
      </c>
      <c r="K4664" s="4" t="s">
        <v>14842</v>
      </c>
      <c r="L4664" s="5">
        <v>73134</v>
      </c>
    </row>
    <row r="4665" spans="1:12" x14ac:dyDescent="0.25">
      <c r="A4665" s="3" t="s">
        <v>13772</v>
      </c>
      <c r="B4665" s="4" t="s">
        <v>14772</v>
      </c>
      <c r="C4665" s="4" t="s">
        <v>25</v>
      </c>
      <c r="D4665" s="4" t="s">
        <v>26</v>
      </c>
      <c r="E4665" s="5" t="str">
        <f>"9500362"</f>
        <v>9500362</v>
      </c>
      <c r="F4665" s="3" t="s">
        <v>14843</v>
      </c>
      <c r="G4665" s="5">
        <v>2825022337</v>
      </c>
      <c r="H4665" s="4" t="s">
        <v>14844</v>
      </c>
      <c r="I4665" s="4" t="s">
        <v>14799</v>
      </c>
      <c r="J4665" s="4" t="s">
        <v>14845</v>
      </c>
      <c r="K4665" s="4" t="s">
        <v>14846</v>
      </c>
      <c r="L4665" s="5">
        <v>73008</v>
      </c>
    </row>
    <row r="4666" spans="1:12" x14ac:dyDescent="0.25">
      <c r="A4666" s="3" t="s">
        <v>13772</v>
      </c>
      <c r="B4666" s="4" t="s">
        <v>14772</v>
      </c>
      <c r="C4666" s="4" t="s">
        <v>25</v>
      </c>
      <c r="D4666" s="4" t="s">
        <v>26</v>
      </c>
      <c r="E4666" s="5" t="str">
        <f>"9500309"</f>
        <v>9500309</v>
      </c>
      <c r="F4666" s="3" t="s">
        <v>14847</v>
      </c>
      <c r="G4666" s="5">
        <v>2821066285</v>
      </c>
      <c r="H4666" s="4" t="s">
        <v>14848</v>
      </c>
      <c r="I4666" s="4" t="s">
        <v>14784</v>
      </c>
      <c r="J4666" s="4" t="s">
        <v>14849</v>
      </c>
      <c r="K4666" s="4" t="s">
        <v>14850</v>
      </c>
      <c r="L4666" s="5">
        <v>73100</v>
      </c>
    </row>
    <row r="4667" spans="1:12" x14ac:dyDescent="0.25">
      <c r="A4667" s="3" t="s">
        <v>13772</v>
      </c>
      <c r="B4667" s="4" t="s">
        <v>14772</v>
      </c>
      <c r="C4667" s="4" t="s">
        <v>25</v>
      </c>
      <c r="D4667" s="4" t="s">
        <v>26</v>
      </c>
      <c r="E4667" s="5" t="str">
        <f>"9500289"</f>
        <v>9500289</v>
      </c>
      <c r="F4667" s="3" t="s">
        <v>14851</v>
      </c>
      <c r="G4667" s="5">
        <v>2825096381</v>
      </c>
      <c r="H4667" s="4" t="s">
        <v>14852</v>
      </c>
      <c r="I4667" s="4" t="s">
        <v>14799</v>
      </c>
      <c r="J4667" s="4" t="s">
        <v>14799</v>
      </c>
      <c r="K4667" s="4" t="s">
        <v>14801</v>
      </c>
      <c r="L4667" s="5">
        <v>73007</v>
      </c>
    </row>
    <row r="4668" spans="1:12" x14ac:dyDescent="0.25">
      <c r="A4668" s="3" t="s">
        <v>13772</v>
      </c>
      <c r="B4668" s="4" t="s">
        <v>14772</v>
      </c>
      <c r="C4668" s="4" t="s">
        <v>25</v>
      </c>
      <c r="D4668" s="4" t="s">
        <v>26</v>
      </c>
      <c r="E4668" s="5" t="str">
        <f>"9500257"</f>
        <v>9500257</v>
      </c>
      <c r="F4668" s="3" t="s">
        <v>14853</v>
      </c>
      <c r="G4668" s="5">
        <v>2821077365</v>
      </c>
      <c r="H4668" s="4" t="s">
        <v>14854</v>
      </c>
      <c r="I4668" s="4" t="s">
        <v>14601</v>
      </c>
      <c r="J4668" s="4" t="s">
        <v>14855</v>
      </c>
      <c r="K4668" s="4" t="s">
        <v>14856</v>
      </c>
      <c r="L4668" s="5">
        <v>73005</v>
      </c>
    </row>
    <row r="4669" spans="1:12" x14ac:dyDescent="0.25">
      <c r="A4669" s="3" t="s">
        <v>13772</v>
      </c>
      <c r="B4669" s="4" t="s">
        <v>14772</v>
      </c>
      <c r="C4669" s="4" t="s">
        <v>14</v>
      </c>
      <c r="D4669" s="4" t="s">
        <v>15</v>
      </c>
      <c r="E4669" s="5" t="str">
        <f>"9500009"</f>
        <v>9500009</v>
      </c>
      <c r="F4669" s="3" t="s">
        <v>14857</v>
      </c>
      <c r="G4669" s="5">
        <v>2825061346</v>
      </c>
      <c r="H4669" s="4" t="s">
        <v>14858</v>
      </c>
      <c r="I4669" s="4" t="s">
        <v>14799</v>
      </c>
      <c r="J4669" s="4" t="s">
        <v>14859</v>
      </c>
      <c r="K4669" s="4" t="s">
        <v>14859</v>
      </c>
      <c r="L4669" s="5">
        <v>73007</v>
      </c>
    </row>
    <row r="4670" spans="1:12" x14ac:dyDescent="0.25">
      <c r="A4670" s="3" t="s">
        <v>13772</v>
      </c>
      <c r="B4670" s="4" t="s">
        <v>14772</v>
      </c>
      <c r="C4670" s="4" t="s">
        <v>14</v>
      </c>
      <c r="D4670" s="4" t="s">
        <v>15</v>
      </c>
      <c r="E4670" s="5" t="str">
        <f>"9500355"</f>
        <v>9500355</v>
      </c>
      <c r="F4670" s="3" t="s">
        <v>14860</v>
      </c>
      <c r="G4670" s="5">
        <v>2825095295</v>
      </c>
      <c r="H4670" s="4" t="s">
        <v>14861</v>
      </c>
      <c r="I4670" s="4" t="s">
        <v>14775</v>
      </c>
      <c r="J4670" s="4" t="s">
        <v>14818</v>
      </c>
      <c r="K4670" s="4" t="s">
        <v>14862</v>
      </c>
      <c r="L4670" s="5">
        <v>73011</v>
      </c>
    </row>
    <row r="4671" spans="1:12" x14ac:dyDescent="0.25">
      <c r="A4671" s="3" t="s">
        <v>13772</v>
      </c>
      <c r="B4671" s="4" t="s">
        <v>14772</v>
      </c>
      <c r="C4671" s="4" t="s">
        <v>14</v>
      </c>
      <c r="D4671" s="4" t="s">
        <v>15</v>
      </c>
      <c r="E4671" s="5" t="str">
        <f>"9500004"</f>
        <v>9500004</v>
      </c>
      <c r="F4671" s="3" t="s">
        <v>14863</v>
      </c>
      <c r="G4671" s="5">
        <v>2825022272</v>
      </c>
      <c r="H4671" s="4" t="s">
        <v>14864</v>
      </c>
      <c r="I4671" s="4" t="s">
        <v>14799</v>
      </c>
      <c r="J4671" s="4" t="s">
        <v>14865</v>
      </c>
      <c r="K4671" s="4" t="s">
        <v>14865</v>
      </c>
      <c r="L4671" s="5">
        <v>73008</v>
      </c>
    </row>
    <row r="4672" spans="1:12" x14ac:dyDescent="0.25">
      <c r="A4672" s="3" t="s">
        <v>13772</v>
      </c>
      <c r="B4672" s="4" t="s">
        <v>14772</v>
      </c>
      <c r="C4672" s="4" t="s">
        <v>14</v>
      </c>
      <c r="D4672" s="4" t="s">
        <v>15</v>
      </c>
      <c r="E4672" s="5" t="str">
        <f>"9500189"</f>
        <v>9500189</v>
      </c>
      <c r="F4672" s="3" t="s">
        <v>14866</v>
      </c>
      <c r="G4672" s="5">
        <v>2822022119</v>
      </c>
      <c r="H4672" s="4" t="s">
        <v>14867</v>
      </c>
      <c r="I4672" s="4" t="s">
        <v>14868</v>
      </c>
      <c r="J4672" s="4" t="s">
        <v>14869</v>
      </c>
      <c r="K4672" s="4" t="s">
        <v>14870</v>
      </c>
      <c r="L4672" s="5">
        <v>73400</v>
      </c>
    </row>
    <row r="4673" spans="1:12" x14ac:dyDescent="0.25">
      <c r="A4673" s="3" t="s">
        <v>13772</v>
      </c>
      <c r="B4673" s="4" t="s">
        <v>14772</v>
      </c>
      <c r="C4673" s="4" t="s">
        <v>25</v>
      </c>
      <c r="D4673" s="4" t="s">
        <v>26</v>
      </c>
      <c r="E4673" s="5" t="str">
        <f>"9500350"</f>
        <v>9500350</v>
      </c>
      <c r="F4673" s="3" t="s">
        <v>14871</v>
      </c>
      <c r="G4673" s="5">
        <v>2825041555</v>
      </c>
      <c r="H4673" s="4" t="s">
        <v>14872</v>
      </c>
      <c r="I4673" s="4" t="s">
        <v>14799</v>
      </c>
      <c r="J4673" s="4" t="s">
        <v>14873</v>
      </c>
      <c r="K4673" s="4" t="s">
        <v>14874</v>
      </c>
      <c r="L4673" s="5">
        <v>73003</v>
      </c>
    </row>
    <row r="4674" spans="1:12" x14ac:dyDescent="0.25">
      <c r="A4674" s="3" t="s">
        <v>13772</v>
      </c>
      <c r="B4674" s="4" t="s">
        <v>14772</v>
      </c>
      <c r="C4674" s="4" t="s">
        <v>25</v>
      </c>
      <c r="D4674" s="4" t="s">
        <v>26</v>
      </c>
      <c r="E4674" s="5" t="str">
        <f>"9500046"</f>
        <v>9500046</v>
      </c>
      <c r="F4674" s="3" t="s">
        <v>14875</v>
      </c>
      <c r="G4674" s="5">
        <v>2821040434</v>
      </c>
      <c r="H4674" s="4" t="s">
        <v>14876</v>
      </c>
      <c r="I4674" s="4" t="s">
        <v>14784</v>
      </c>
      <c r="J4674" s="4" t="s">
        <v>14784</v>
      </c>
      <c r="K4674" s="4" t="s">
        <v>14877</v>
      </c>
      <c r="L4674" s="5">
        <v>73133</v>
      </c>
    </row>
    <row r="4675" spans="1:12" x14ac:dyDescent="0.25">
      <c r="A4675" s="3" t="s">
        <v>13772</v>
      </c>
      <c r="B4675" s="4" t="s">
        <v>14772</v>
      </c>
      <c r="C4675" s="4" t="s">
        <v>25</v>
      </c>
      <c r="D4675" s="4" t="s">
        <v>26</v>
      </c>
      <c r="E4675" s="5" t="str">
        <f>"9500145"</f>
        <v>9500145</v>
      </c>
      <c r="F4675" s="3" t="s">
        <v>14878</v>
      </c>
      <c r="G4675" s="5">
        <v>2821072991</v>
      </c>
      <c r="H4675" s="4" t="s">
        <v>14879</v>
      </c>
      <c r="I4675" s="4" t="s">
        <v>14784</v>
      </c>
      <c r="J4675" s="4" t="s">
        <v>14784</v>
      </c>
      <c r="K4675" s="4" t="s">
        <v>14880</v>
      </c>
      <c r="L4675" s="5">
        <v>73131</v>
      </c>
    </row>
    <row r="4676" spans="1:12" x14ac:dyDescent="0.25">
      <c r="A4676" s="3" t="s">
        <v>13772</v>
      </c>
      <c r="B4676" s="4" t="s">
        <v>14772</v>
      </c>
      <c r="C4676" s="4" t="s">
        <v>14</v>
      </c>
      <c r="D4676" s="4" t="s">
        <v>15</v>
      </c>
      <c r="E4676" s="5" t="str">
        <f>"9500374"</f>
        <v>9500374</v>
      </c>
      <c r="F4676" s="3" t="s">
        <v>14881</v>
      </c>
      <c r="G4676" s="5">
        <v>2822023194</v>
      </c>
      <c r="H4676" s="4" t="s">
        <v>14882</v>
      </c>
      <c r="I4676" s="4" t="s">
        <v>14868</v>
      </c>
      <c r="J4676" s="4" t="s">
        <v>14869</v>
      </c>
      <c r="K4676" s="4" t="s">
        <v>14883</v>
      </c>
      <c r="L4676" s="5">
        <v>73400</v>
      </c>
    </row>
    <row r="4677" spans="1:12" x14ac:dyDescent="0.25">
      <c r="A4677" s="3" t="s">
        <v>13772</v>
      </c>
      <c r="B4677" s="4" t="s">
        <v>14772</v>
      </c>
      <c r="C4677" s="4" t="s">
        <v>25</v>
      </c>
      <c r="D4677" s="4" t="s">
        <v>26</v>
      </c>
      <c r="E4677" s="5" t="str">
        <f>"9500074"</f>
        <v>9500074</v>
      </c>
      <c r="F4677" s="3" t="s">
        <v>14884</v>
      </c>
      <c r="G4677" s="5">
        <v>2821027355</v>
      </c>
      <c r="H4677" s="4" t="s">
        <v>14885</v>
      </c>
      <c r="I4677" s="4" t="s">
        <v>14784</v>
      </c>
      <c r="J4677" s="4" t="s">
        <v>14784</v>
      </c>
      <c r="K4677" s="4" t="s">
        <v>14886</v>
      </c>
      <c r="L4677" s="5">
        <v>73133</v>
      </c>
    </row>
    <row r="4678" spans="1:12" x14ac:dyDescent="0.25">
      <c r="A4678" s="3" t="s">
        <v>13772</v>
      </c>
      <c r="B4678" s="4" t="s">
        <v>14772</v>
      </c>
      <c r="C4678" s="4" t="s">
        <v>25</v>
      </c>
      <c r="D4678" s="4" t="s">
        <v>26</v>
      </c>
      <c r="E4678" s="5" t="str">
        <f>"9500258"</f>
        <v>9500258</v>
      </c>
      <c r="F4678" s="3" t="s">
        <v>14887</v>
      </c>
      <c r="G4678" s="5">
        <v>2821090938</v>
      </c>
      <c r="H4678" s="4" t="s">
        <v>14888</v>
      </c>
      <c r="I4678" s="4" t="s">
        <v>14784</v>
      </c>
      <c r="J4678" s="4" t="s">
        <v>14784</v>
      </c>
      <c r="K4678" s="4" t="s">
        <v>14889</v>
      </c>
      <c r="L4678" s="5">
        <v>73136</v>
      </c>
    </row>
    <row r="4679" spans="1:12" x14ac:dyDescent="0.25">
      <c r="A4679" s="3" t="s">
        <v>13772</v>
      </c>
      <c r="B4679" s="4" t="s">
        <v>14772</v>
      </c>
      <c r="C4679" s="4" t="s">
        <v>25</v>
      </c>
      <c r="D4679" s="4" t="s">
        <v>26</v>
      </c>
      <c r="E4679" s="5" t="str">
        <f>"9500176"</f>
        <v>9500176</v>
      </c>
      <c r="F4679" s="3" t="s">
        <v>14890</v>
      </c>
      <c r="G4679" s="5">
        <v>2823402013</v>
      </c>
      <c r="H4679" s="4" t="s">
        <v>14891</v>
      </c>
      <c r="I4679" s="4" t="s">
        <v>14892</v>
      </c>
      <c r="J4679" s="4" t="s">
        <v>14893</v>
      </c>
      <c r="K4679" s="4" t="s">
        <v>13715</v>
      </c>
      <c r="L4679" s="5">
        <v>73001</v>
      </c>
    </row>
    <row r="4680" spans="1:12" x14ac:dyDescent="0.25">
      <c r="A4680" s="3" t="s">
        <v>13772</v>
      </c>
      <c r="B4680" s="4" t="s">
        <v>14772</v>
      </c>
      <c r="C4680" s="4" t="s">
        <v>25</v>
      </c>
      <c r="D4680" s="4" t="s">
        <v>26</v>
      </c>
      <c r="E4680" s="5" t="str">
        <f>"9500369"</f>
        <v>9500369</v>
      </c>
      <c r="F4680" s="3" t="s">
        <v>14894</v>
      </c>
      <c r="G4680" s="5">
        <v>2821099596</v>
      </c>
      <c r="H4680" s="4" t="s">
        <v>14895</v>
      </c>
      <c r="I4680" s="4" t="s">
        <v>14784</v>
      </c>
      <c r="J4680" s="4" t="s">
        <v>14825</v>
      </c>
      <c r="K4680" s="4" t="s">
        <v>14896</v>
      </c>
      <c r="L4680" s="5">
        <v>73300</v>
      </c>
    </row>
    <row r="4681" spans="1:12" x14ac:dyDescent="0.25">
      <c r="A4681" s="3" t="s">
        <v>13772</v>
      </c>
      <c r="B4681" s="4" t="s">
        <v>14772</v>
      </c>
      <c r="C4681" s="4" t="s">
        <v>25</v>
      </c>
      <c r="D4681" s="4" t="s">
        <v>26</v>
      </c>
      <c r="E4681" s="5" t="str">
        <f>"9500127"</f>
        <v>9500127</v>
      </c>
      <c r="F4681" s="3" t="s">
        <v>14897</v>
      </c>
      <c r="G4681" s="5">
        <v>2824031321</v>
      </c>
      <c r="H4681" s="4" t="s">
        <v>14898</v>
      </c>
      <c r="I4681" s="4" t="s">
        <v>14601</v>
      </c>
      <c r="J4681" s="4" t="s">
        <v>14899</v>
      </c>
      <c r="K4681" s="4" t="s">
        <v>14780</v>
      </c>
      <c r="L4681" s="5">
        <v>73002</v>
      </c>
    </row>
    <row r="4682" spans="1:12" x14ac:dyDescent="0.25">
      <c r="A4682" s="3" t="s">
        <v>13772</v>
      </c>
      <c r="B4682" s="4" t="s">
        <v>14772</v>
      </c>
      <c r="C4682" s="4" t="s">
        <v>25</v>
      </c>
      <c r="D4682" s="4" t="s">
        <v>26</v>
      </c>
      <c r="E4682" s="5" t="str">
        <f>"9500366"</f>
        <v>9500366</v>
      </c>
      <c r="F4682" s="3" t="s">
        <v>14900</v>
      </c>
      <c r="G4682" s="5">
        <v>2821032585</v>
      </c>
      <c r="H4682" s="4" t="s">
        <v>14901</v>
      </c>
      <c r="I4682" s="4" t="s">
        <v>14784</v>
      </c>
      <c r="J4682" s="4" t="s">
        <v>14788</v>
      </c>
      <c r="K4682" s="4" t="s">
        <v>14902</v>
      </c>
      <c r="L4682" s="5">
        <v>73100</v>
      </c>
    </row>
    <row r="4683" spans="1:12" x14ac:dyDescent="0.25">
      <c r="A4683" s="3" t="s">
        <v>13772</v>
      </c>
      <c r="B4683" s="4" t="s">
        <v>14772</v>
      </c>
      <c r="C4683" s="4" t="s">
        <v>14</v>
      </c>
      <c r="D4683" s="4" t="s">
        <v>15</v>
      </c>
      <c r="E4683" s="5" t="str">
        <f>"9500403"</f>
        <v>9500403</v>
      </c>
      <c r="F4683" s="3" t="s">
        <v>14903</v>
      </c>
      <c r="G4683" s="5">
        <v>2821033142</v>
      </c>
      <c r="H4683" s="4" t="s">
        <v>14904</v>
      </c>
      <c r="I4683" s="4" t="s">
        <v>14784</v>
      </c>
      <c r="J4683" s="4" t="s">
        <v>6119</v>
      </c>
      <c r="K4683" s="4" t="s">
        <v>14905</v>
      </c>
      <c r="L4683" s="5">
        <v>73100</v>
      </c>
    </row>
    <row r="4684" spans="1:12" x14ac:dyDescent="0.25">
      <c r="A4684" s="3" t="s">
        <v>13772</v>
      </c>
      <c r="B4684" s="4" t="s">
        <v>14772</v>
      </c>
      <c r="C4684" s="4" t="s">
        <v>25</v>
      </c>
      <c r="D4684" s="4" t="s">
        <v>26</v>
      </c>
      <c r="E4684" s="5" t="str">
        <f>"9500406"</f>
        <v>9500406</v>
      </c>
      <c r="F4684" s="3" t="s">
        <v>14906</v>
      </c>
      <c r="G4684" s="5">
        <v>2821081597</v>
      </c>
      <c r="H4684" s="4" t="s">
        <v>14907</v>
      </c>
      <c r="I4684" s="4" t="s">
        <v>14784</v>
      </c>
      <c r="J4684" s="4" t="s">
        <v>14795</v>
      </c>
      <c r="K4684" s="4" t="s">
        <v>14908</v>
      </c>
      <c r="L4684" s="5">
        <v>73200</v>
      </c>
    </row>
    <row r="4685" spans="1:12" x14ac:dyDescent="0.25">
      <c r="A4685" s="3" t="s">
        <v>13772</v>
      </c>
      <c r="B4685" s="4" t="s">
        <v>14772</v>
      </c>
      <c r="C4685" s="4" t="s">
        <v>25</v>
      </c>
      <c r="D4685" s="4" t="s">
        <v>26</v>
      </c>
      <c r="E4685" s="5" t="str">
        <f>"9500425"</f>
        <v>9500425</v>
      </c>
      <c r="F4685" s="3" t="s">
        <v>14909</v>
      </c>
      <c r="G4685" s="5">
        <v>2821094663</v>
      </c>
      <c r="H4685" s="4" t="s">
        <v>14910</v>
      </c>
      <c r="I4685" s="4" t="s">
        <v>14784</v>
      </c>
      <c r="J4685" s="4" t="s">
        <v>14911</v>
      </c>
      <c r="K4685" s="4" t="s">
        <v>14912</v>
      </c>
      <c r="L4685" s="5">
        <v>73100</v>
      </c>
    </row>
    <row r="4686" spans="1:12" x14ac:dyDescent="0.25">
      <c r="A4686" s="3" t="s">
        <v>13772</v>
      </c>
      <c r="B4686" s="4" t="s">
        <v>14772</v>
      </c>
      <c r="C4686" s="4" t="s">
        <v>25</v>
      </c>
      <c r="D4686" s="4" t="s">
        <v>26</v>
      </c>
      <c r="E4686" s="5" t="str">
        <f>"9500342"</f>
        <v>9500342</v>
      </c>
      <c r="F4686" s="3" t="s">
        <v>14913</v>
      </c>
      <c r="G4686" s="5">
        <v>2821076440</v>
      </c>
      <c r="H4686" s="4" t="s">
        <v>14914</v>
      </c>
      <c r="I4686" s="4" t="s">
        <v>14784</v>
      </c>
      <c r="J4686" s="4" t="s">
        <v>14911</v>
      </c>
      <c r="K4686" s="4" t="s">
        <v>14915</v>
      </c>
      <c r="L4686" s="5">
        <v>73100</v>
      </c>
    </row>
    <row r="4687" spans="1:12" x14ac:dyDescent="0.25">
      <c r="A4687" s="3" t="s">
        <v>13772</v>
      </c>
      <c r="B4687" s="4" t="s">
        <v>14772</v>
      </c>
      <c r="C4687" s="4" t="s">
        <v>25</v>
      </c>
      <c r="D4687" s="4" t="s">
        <v>26</v>
      </c>
      <c r="E4687" s="5" t="str">
        <f>"9500422"</f>
        <v>9500422</v>
      </c>
      <c r="F4687" s="3" t="s">
        <v>14916</v>
      </c>
      <c r="G4687" s="5">
        <v>2821095574</v>
      </c>
      <c r="H4687" s="4" t="s">
        <v>14917</v>
      </c>
      <c r="I4687" s="4" t="s">
        <v>14784</v>
      </c>
      <c r="J4687" s="4" t="s">
        <v>14825</v>
      </c>
      <c r="K4687" s="4" t="s">
        <v>14896</v>
      </c>
      <c r="L4687" s="5">
        <v>73300</v>
      </c>
    </row>
    <row r="4688" spans="1:12" x14ac:dyDescent="0.25">
      <c r="A4688" s="3" t="s">
        <v>13772</v>
      </c>
      <c r="B4688" s="4" t="s">
        <v>14772</v>
      </c>
      <c r="C4688" s="4" t="s">
        <v>25</v>
      </c>
      <c r="D4688" s="4" t="s">
        <v>26</v>
      </c>
      <c r="E4688" s="5" t="str">
        <f>"9500108"</f>
        <v>9500108</v>
      </c>
      <c r="F4688" s="3" t="s">
        <v>14918</v>
      </c>
      <c r="G4688" s="5">
        <v>2821079280</v>
      </c>
      <c r="H4688" s="4" t="s">
        <v>14919</v>
      </c>
      <c r="I4688" s="4" t="s">
        <v>14784</v>
      </c>
      <c r="J4688" s="4" t="s">
        <v>14920</v>
      </c>
      <c r="K4688" s="4" t="s">
        <v>14921</v>
      </c>
      <c r="L4688" s="5">
        <v>73100</v>
      </c>
    </row>
    <row r="4689" spans="1:12" x14ac:dyDescent="0.25">
      <c r="A4689" s="3" t="s">
        <v>13772</v>
      </c>
      <c r="B4689" s="4" t="s">
        <v>14772</v>
      </c>
      <c r="C4689" s="4" t="s">
        <v>14</v>
      </c>
      <c r="D4689" s="4" t="s">
        <v>15</v>
      </c>
      <c r="E4689" s="5" t="str">
        <f>"9500137"</f>
        <v>9500137</v>
      </c>
      <c r="F4689" s="3" t="s">
        <v>14922</v>
      </c>
      <c r="G4689" s="5">
        <v>2821093156</v>
      </c>
      <c r="H4689" s="4" t="s">
        <v>14923</v>
      </c>
      <c r="I4689" s="4" t="s">
        <v>14784</v>
      </c>
      <c r="J4689" s="4" t="s">
        <v>14924</v>
      </c>
      <c r="K4689" s="4" t="s">
        <v>14925</v>
      </c>
      <c r="L4689" s="5">
        <v>73131</v>
      </c>
    </row>
    <row r="4690" spans="1:12" x14ac:dyDescent="0.25">
      <c r="A4690" s="3" t="s">
        <v>13772</v>
      </c>
      <c r="B4690" s="4" t="s">
        <v>14772</v>
      </c>
      <c r="C4690" s="4" t="s">
        <v>14</v>
      </c>
      <c r="D4690" s="4" t="s">
        <v>15</v>
      </c>
      <c r="E4690" s="5" t="str">
        <f>"9500358"</f>
        <v>9500358</v>
      </c>
      <c r="F4690" s="3" t="s">
        <v>14926</v>
      </c>
      <c r="G4690" s="5">
        <v>2821093459</v>
      </c>
      <c r="H4690" s="4" t="s">
        <v>14927</v>
      </c>
      <c r="I4690" s="4" t="s">
        <v>14784</v>
      </c>
      <c r="J4690" s="4" t="s">
        <v>14837</v>
      </c>
      <c r="K4690" s="4" t="s">
        <v>14928</v>
      </c>
      <c r="L4690" s="5">
        <v>73300</v>
      </c>
    </row>
    <row r="4691" spans="1:12" x14ac:dyDescent="0.25">
      <c r="A4691" s="3" t="s">
        <v>13772</v>
      </c>
      <c r="B4691" s="4" t="s">
        <v>14772</v>
      </c>
      <c r="C4691" s="4" t="s">
        <v>14</v>
      </c>
      <c r="D4691" s="4" t="s">
        <v>15</v>
      </c>
      <c r="E4691" s="5" t="str">
        <f>"9500329"</f>
        <v>9500329</v>
      </c>
      <c r="F4691" s="3" t="s">
        <v>14929</v>
      </c>
      <c r="G4691" s="5">
        <v>2821099075</v>
      </c>
      <c r="H4691" s="4" t="s">
        <v>14930</v>
      </c>
      <c r="I4691" s="4" t="s">
        <v>14784</v>
      </c>
      <c r="J4691" s="4" t="s">
        <v>14931</v>
      </c>
      <c r="K4691" s="4" t="s">
        <v>14932</v>
      </c>
      <c r="L4691" s="5">
        <v>73134</v>
      </c>
    </row>
    <row r="4692" spans="1:12" x14ac:dyDescent="0.25">
      <c r="A4692" s="3" t="s">
        <v>13772</v>
      </c>
      <c r="B4692" s="4" t="s">
        <v>14772</v>
      </c>
      <c r="C4692" s="4" t="s">
        <v>14</v>
      </c>
      <c r="D4692" s="4" t="s">
        <v>15</v>
      </c>
      <c r="E4692" s="5" t="str">
        <f>"9500103"</f>
        <v>9500103</v>
      </c>
      <c r="F4692" s="3" t="s">
        <v>14933</v>
      </c>
      <c r="G4692" s="5">
        <v>2821090920</v>
      </c>
      <c r="H4692" s="4" t="s">
        <v>14934</v>
      </c>
      <c r="I4692" s="4" t="s">
        <v>14784</v>
      </c>
      <c r="J4692" s="4" t="s">
        <v>14924</v>
      </c>
      <c r="K4692" s="4" t="s">
        <v>14935</v>
      </c>
      <c r="L4692" s="5">
        <v>73300</v>
      </c>
    </row>
    <row r="4693" spans="1:12" x14ac:dyDescent="0.25">
      <c r="A4693" s="3" t="s">
        <v>13772</v>
      </c>
      <c r="B4693" s="4" t="s">
        <v>14772</v>
      </c>
      <c r="C4693" s="4" t="s">
        <v>25</v>
      </c>
      <c r="D4693" s="4" t="s">
        <v>26</v>
      </c>
      <c r="E4693" s="5" t="str">
        <f>"9500291"</f>
        <v>9500291</v>
      </c>
      <c r="F4693" s="3" t="s">
        <v>14936</v>
      </c>
      <c r="G4693" s="5">
        <v>2821081793</v>
      </c>
      <c r="H4693" s="4" t="s">
        <v>14937</v>
      </c>
      <c r="I4693" s="4" t="s">
        <v>14784</v>
      </c>
      <c r="J4693" s="4" t="s">
        <v>14938</v>
      </c>
      <c r="K4693" s="4" t="s">
        <v>14939</v>
      </c>
      <c r="L4693" s="5">
        <v>73200</v>
      </c>
    </row>
    <row r="4694" spans="1:12" x14ac:dyDescent="0.25">
      <c r="A4694" s="3" t="s">
        <v>13772</v>
      </c>
      <c r="B4694" s="4" t="s">
        <v>14772</v>
      </c>
      <c r="C4694" s="4" t="s">
        <v>25</v>
      </c>
      <c r="D4694" s="4" t="s">
        <v>26</v>
      </c>
      <c r="E4694" s="5" t="str">
        <f>"9500296"</f>
        <v>9500296</v>
      </c>
      <c r="F4694" s="3" t="s">
        <v>14940</v>
      </c>
      <c r="G4694" s="5">
        <v>2821099519</v>
      </c>
      <c r="H4694" s="4" t="s">
        <v>14941</v>
      </c>
      <c r="I4694" s="4" t="s">
        <v>14784</v>
      </c>
      <c r="J4694" s="4" t="s">
        <v>14833</v>
      </c>
      <c r="K4694" s="4" t="s">
        <v>14942</v>
      </c>
      <c r="L4694" s="5">
        <v>73100</v>
      </c>
    </row>
    <row r="4695" spans="1:12" x14ac:dyDescent="0.25">
      <c r="A4695" s="3" t="s">
        <v>13772</v>
      </c>
      <c r="B4695" s="4" t="s">
        <v>14772</v>
      </c>
      <c r="C4695" s="4" t="s">
        <v>25</v>
      </c>
      <c r="D4695" s="4" t="s">
        <v>26</v>
      </c>
      <c r="E4695" s="5" t="str">
        <f>"9500344"</f>
        <v>9500344</v>
      </c>
      <c r="F4695" s="3" t="s">
        <v>14943</v>
      </c>
      <c r="G4695" s="5">
        <v>2821095241</v>
      </c>
      <c r="H4695" s="4" t="s">
        <v>14944</v>
      </c>
      <c r="I4695" s="4" t="s">
        <v>14784</v>
      </c>
      <c r="J4695" s="4" t="s">
        <v>14945</v>
      </c>
      <c r="K4695" s="4" t="s">
        <v>14946</v>
      </c>
      <c r="L4695" s="5">
        <v>73100</v>
      </c>
    </row>
    <row r="4696" spans="1:12" x14ac:dyDescent="0.25">
      <c r="A4696" s="3" t="s">
        <v>13772</v>
      </c>
      <c r="B4696" s="4" t="s">
        <v>14772</v>
      </c>
      <c r="C4696" s="4" t="s">
        <v>14</v>
      </c>
      <c r="D4696" s="4" t="s">
        <v>15</v>
      </c>
      <c r="E4696" s="5" t="str">
        <f>"9500119"</f>
        <v>9500119</v>
      </c>
      <c r="F4696" s="3" t="s">
        <v>14947</v>
      </c>
      <c r="G4696" s="5">
        <v>2821095816</v>
      </c>
      <c r="H4696" s="4" t="s">
        <v>14948</v>
      </c>
      <c r="I4696" s="4" t="s">
        <v>14784</v>
      </c>
      <c r="J4696" s="4" t="s">
        <v>14949</v>
      </c>
      <c r="K4696" s="4" t="s">
        <v>14950</v>
      </c>
      <c r="L4696" s="5">
        <v>73135</v>
      </c>
    </row>
    <row r="4697" spans="1:12" x14ac:dyDescent="0.25">
      <c r="A4697" s="3" t="s">
        <v>13772</v>
      </c>
      <c r="B4697" s="4" t="s">
        <v>14772</v>
      </c>
      <c r="C4697" s="4" t="s">
        <v>14</v>
      </c>
      <c r="D4697" s="4" t="s">
        <v>179</v>
      </c>
      <c r="E4697" s="5" t="str">
        <f>"9500052"</f>
        <v>9500052</v>
      </c>
      <c r="F4697" s="3" t="s">
        <v>14951</v>
      </c>
      <c r="G4697" s="5">
        <v>2825091172</v>
      </c>
      <c r="H4697" s="4" t="s">
        <v>14952</v>
      </c>
      <c r="I4697" s="4" t="s">
        <v>14775</v>
      </c>
      <c r="J4697" s="4" t="s">
        <v>14776</v>
      </c>
      <c r="K4697" s="4" t="s">
        <v>14777</v>
      </c>
      <c r="L4697" s="5">
        <v>73011</v>
      </c>
    </row>
    <row r="4698" spans="1:12" x14ac:dyDescent="0.25">
      <c r="A4698" s="3" t="s">
        <v>13772</v>
      </c>
      <c r="B4698" s="4" t="s">
        <v>14772</v>
      </c>
      <c r="C4698" s="4" t="s">
        <v>14</v>
      </c>
      <c r="D4698" s="4" t="s">
        <v>15</v>
      </c>
      <c r="E4698" s="5" t="str">
        <f>"9500075"</f>
        <v>9500075</v>
      </c>
      <c r="F4698" s="3" t="s">
        <v>14953</v>
      </c>
      <c r="G4698" s="5">
        <v>2821046505</v>
      </c>
      <c r="H4698" s="4" t="s">
        <v>14954</v>
      </c>
      <c r="I4698" s="4" t="s">
        <v>14784</v>
      </c>
      <c r="J4698" s="4" t="s">
        <v>14833</v>
      </c>
      <c r="K4698" s="4" t="s">
        <v>14955</v>
      </c>
      <c r="L4698" s="5">
        <v>73133</v>
      </c>
    </row>
    <row r="4699" spans="1:12" x14ac:dyDescent="0.25">
      <c r="A4699" s="3" t="s">
        <v>13772</v>
      </c>
      <c r="B4699" s="4" t="s">
        <v>14772</v>
      </c>
      <c r="C4699" s="4" t="s">
        <v>14</v>
      </c>
      <c r="D4699" s="4" t="s">
        <v>15</v>
      </c>
      <c r="E4699" s="5" t="str">
        <f>"9500423"</f>
        <v>9500423</v>
      </c>
      <c r="F4699" s="3" t="s">
        <v>14956</v>
      </c>
      <c r="G4699" s="5">
        <v>2821023473</v>
      </c>
      <c r="H4699" s="4" t="s">
        <v>14957</v>
      </c>
      <c r="I4699" s="4" t="s">
        <v>14784</v>
      </c>
      <c r="J4699" s="4" t="s">
        <v>14958</v>
      </c>
      <c r="K4699" s="4" t="s">
        <v>14959</v>
      </c>
      <c r="L4699" s="5">
        <v>73134</v>
      </c>
    </row>
    <row r="4700" spans="1:12" x14ac:dyDescent="0.25">
      <c r="A4700" s="3" t="s">
        <v>13772</v>
      </c>
      <c r="B4700" s="4" t="s">
        <v>14772</v>
      </c>
      <c r="C4700" s="4" t="s">
        <v>25</v>
      </c>
      <c r="D4700" s="4" t="s">
        <v>26</v>
      </c>
      <c r="E4700" s="5" t="str">
        <f>"9500007"</f>
        <v>9500007</v>
      </c>
      <c r="F4700" s="3" t="s">
        <v>14960</v>
      </c>
      <c r="G4700" s="5">
        <v>2825051704</v>
      </c>
      <c r="H4700" s="4" t="s">
        <v>14961</v>
      </c>
      <c r="I4700" s="4" t="s">
        <v>14799</v>
      </c>
      <c r="J4700" s="4" t="s">
        <v>14962</v>
      </c>
      <c r="K4700" s="4" t="s">
        <v>14963</v>
      </c>
      <c r="L4700" s="5">
        <v>73007</v>
      </c>
    </row>
    <row r="4701" spans="1:12" x14ac:dyDescent="0.25">
      <c r="A4701" s="3" t="s">
        <v>13772</v>
      </c>
      <c r="B4701" s="4" t="s">
        <v>14772</v>
      </c>
      <c r="C4701" s="4" t="s">
        <v>25</v>
      </c>
      <c r="D4701" s="4" t="s">
        <v>26</v>
      </c>
      <c r="E4701" s="5" t="str">
        <f>"9500346"</f>
        <v>9500346</v>
      </c>
      <c r="F4701" s="3" t="s">
        <v>14964</v>
      </c>
      <c r="G4701" s="5">
        <v>2821076501</v>
      </c>
      <c r="H4701" s="4" t="s">
        <v>14965</v>
      </c>
      <c r="I4701" s="4" t="s">
        <v>14784</v>
      </c>
      <c r="J4701" s="4" t="s">
        <v>14784</v>
      </c>
      <c r="K4701" s="4" t="s">
        <v>14966</v>
      </c>
      <c r="L4701" s="5">
        <v>73136</v>
      </c>
    </row>
    <row r="4702" spans="1:12" x14ac:dyDescent="0.25">
      <c r="A4702" s="3" t="s">
        <v>13772</v>
      </c>
      <c r="B4702" s="4" t="s">
        <v>14772</v>
      </c>
      <c r="C4702" s="4" t="s">
        <v>14</v>
      </c>
      <c r="D4702" s="4" t="s">
        <v>15</v>
      </c>
      <c r="E4702" s="5" t="str">
        <f>"9500320"</f>
        <v>9500320</v>
      </c>
      <c r="F4702" s="3" t="s">
        <v>14967</v>
      </c>
      <c r="G4702" s="5">
        <v>2821099577</v>
      </c>
      <c r="H4702" s="4" t="s">
        <v>14968</v>
      </c>
      <c r="I4702" s="4" t="s">
        <v>14784</v>
      </c>
      <c r="J4702" s="4" t="s">
        <v>14958</v>
      </c>
      <c r="K4702" s="4" t="s">
        <v>14969</v>
      </c>
      <c r="L4702" s="5">
        <v>73135</v>
      </c>
    </row>
    <row r="4703" spans="1:12" x14ac:dyDescent="0.25">
      <c r="A4703" s="3" t="s">
        <v>13772</v>
      </c>
      <c r="B4703" s="4" t="s">
        <v>14772</v>
      </c>
      <c r="C4703" s="4" t="s">
        <v>25</v>
      </c>
      <c r="D4703" s="4" t="s">
        <v>26</v>
      </c>
      <c r="E4703" s="5" t="str">
        <f>"9500343"</f>
        <v>9500343</v>
      </c>
      <c r="F4703" s="3" t="s">
        <v>14970</v>
      </c>
      <c r="G4703" s="5">
        <v>2824022284</v>
      </c>
      <c r="H4703" s="4" t="s">
        <v>14971</v>
      </c>
      <c r="I4703" s="4" t="s">
        <v>14601</v>
      </c>
      <c r="J4703" s="4" t="s">
        <v>14972</v>
      </c>
      <c r="K4703" s="4" t="s">
        <v>14973</v>
      </c>
      <c r="L4703" s="5">
        <v>73006</v>
      </c>
    </row>
    <row r="4704" spans="1:12" x14ac:dyDescent="0.25">
      <c r="A4704" s="3" t="s">
        <v>13772</v>
      </c>
      <c r="B4704" s="4" t="s">
        <v>14772</v>
      </c>
      <c r="C4704" s="4" t="s">
        <v>14</v>
      </c>
      <c r="D4704" s="4" t="s">
        <v>15</v>
      </c>
      <c r="E4704" s="5" t="str">
        <f>"9500038"</f>
        <v>9500038</v>
      </c>
      <c r="F4704" s="3" t="s">
        <v>14974</v>
      </c>
      <c r="G4704" s="5">
        <v>2821042407</v>
      </c>
      <c r="H4704" s="4" t="s">
        <v>14975</v>
      </c>
      <c r="I4704" s="4" t="s">
        <v>14784</v>
      </c>
      <c r="J4704" s="4" t="s">
        <v>14924</v>
      </c>
      <c r="K4704" s="4" t="s">
        <v>14976</v>
      </c>
      <c r="L4704" s="5">
        <v>73133</v>
      </c>
    </row>
    <row r="4705" spans="1:12" x14ac:dyDescent="0.25">
      <c r="A4705" s="3" t="s">
        <v>13772</v>
      </c>
      <c r="B4705" s="4" t="s">
        <v>14772</v>
      </c>
      <c r="C4705" s="4" t="s">
        <v>14</v>
      </c>
      <c r="D4705" s="4" t="s">
        <v>15</v>
      </c>
      <c r="E4705" s="5" t="str">
        <f>"9500408"</f>
        <v>9500408</v>
      </c>
      <c r="F4705" s="3" t="s">
        <v>14977</v>
      </c>
      <c r="G4705" s="5">
        <v>2821081655</v>
      </c>
      <c r="H4705" s="4" t="s">
        <v>14978</v>
      </c>
      <c r="I4705" s="4" t="s">
        <v>14784</v>
      </c>
      <c r="J4705" s="4" t="s">
        <v>14979</v>
      </c>
      <c r="K4705" s="4" t="s">
        <v>14980</v>
      </c>
      <c r="L4705" s="5">
        <v>73200</v>
      </c>
    </row>
    <row r="4706" spans="1:12" x14ac:dyDescent="0.25">
      <c r="A4706" s="3" t="s">
        <v>13772</v>
      </c>
      <c r="B4706" s="4" t="s">
        <v>14772</v>
      </c>
      <c r="C4706" s="4" t="s">
        <v>25</v>
      </c>
      <c r="D4706" s="4" t="s">
        <v>26</v>
      </c>
      <c r="E4706" s="5" t="str">
        <f>"9500416"</f>
        <v>9500416</v>
      </c>
      <c r="F4706" s="3" t="s">
        <v>14981</v>
      </c>
      <c r="G4706" s="5">
        <v>2822023003</v>
      </c>
      <c r="H4706" s="4" t="s">
        <v>14982</v>
      </c>
      <c r="I4706" s="4" t="s">
        <v>14868</v>
      </c>
      <c r="J4706" s="4" t="s">
        <v>14983</v>
      </c>
      <c r="K4706" s="4" t="s">
        <v>14883</v>
      </c>
      <c r="L4706" s="5">
        <v>73400</v>
      </c>
    </row>
    <row r="4707" spans="1:12" x14ac:dyDescent="0.25">
      <c r="A4707" s="3" t="s">
        <v>13772</v>
      </c>
      <c r="B4707" s="4" t="s">
        <v>14772</v>
      </c>
      <c r="C4707" s="4" t="s">
        <v>25</v>
      </c>
      <c r="D4707" s="4" t="s">
        <v>26</v>
      </c>
      <c r="E4707" s="5" t="str">
        <f>"9500226"</f>
        <v>9500226</v>
      </c>
      <c r="F4707" s="3" t="s">
        <v>14984</v>
      </c>
      <c r="G4707" s="5">
        <v>2822041706</v>
      </c>
      <c r="H4707" s="4" t="s">
        <v>14985</v>
      </c>
      <c r="I4707" s="4" t="s">
        <v>14868</v>
      </c>
      <c r="J4707" s="4" t="s">
        <v>14986</v>
      </c>
      <c r="K4707" s="4" t="s">
        <v>14987</v>
      </c>
      <c r="L4707" s="5">
        <v>73400</v>
      </c>
    </row>
    <row r="4708" spans="1:12" x14ac:dyDescent="0.25">
      <c r="A4708" s="3" t="s">
        <v>13772</v>
      </c>
      <c r="B4708" s="4" t="s">
        <v>14772</v>
      </c>
      <c r="C4708" s="4" t="s">
        <v>14</v>
      </c>
      <c r="D4708" s="4" t="s">
        <v>15</v>
      </c>
      <c r="E4708" s="5" t="str">
        <f>"9500407"</f>
        <v>9500407</v>
      </c>
      <c r="F4708" s="3" t="s">
        <v>14988</v>
      </c>
      <c r="G4708" s="5">
        <v>2821089224</v>
      </c>
      <c r="H4708" s="4" t="s">
        <v>14989</v>
      </c>
      <c r="I4708" s="4" t="s">
        <v>14784</v>
      </c>
      <c r="J4708" s="4" t="s">
        <v>14990</v>
      </c>
      <c r="K4708" s="4" t="s">
        <v>14991</v>
      </c>
      <c r="L4708" s="5">
        <v>73200</v>
      </c>
    </row>
    <row r="4709" spans="1:12" x14ac:dyDescent="0.25">
      <c r="A4709" s="3" t="s">
        <v>13772</v>
      </c>
      <c r="B4709" s="4" t="s">
        <v>14772</v>
      </c>
      <c r="C4709" s="4" t="s">
        <v>25</v>
      </c>
      <c r="D4709" s="4" t="s">
        <v>26</v>
      </c>
      <c r="E4709" s="5" t="str">
        <f>"9500192"</f>
        <v>9500192</v>
      </c>
      <c r="F4709" s="3" t="s">
        <v>14992</v>
      </c>
      <c r="G4709" s="5">
        <v>2822023376</v>
      </c>
      <c r="H4709" s="4" t="s">
        <v>14993</v>
      </c>
      <c r="I4709" s="4" t="s">
        <v>14868</v>
      </c>
      <c r="J4709" s="4" t="s">
        <v>14983</v>
      </c>
      <c r="K4709" s="4" t="s">
        <v>14994</v>
      </c>
      <c r="L4709" s="5">
        <v>73400</v>
      </c>
    </row>
    <row r="4710" spans="1:12" x14ac:dyDescent="0.25">
      <c r="A4710" s="3" t="s">
        <v>13772</v>
      </c>
      <c r="B4710" s="4" t="s">
        <v>14772</v>
      </c>
      <c r="C4710" s="4" t="s">
        <v>25</v>
      </c>
      <c r="D4710" s="4" t="s">
        <v>26</v>
      </c>
      <c r="E4710" s="5" t="str">
        <f>"9500299"</f>
        <v>9500299</v>
      </c>
      <c r="F4710" s="3" t="s">
        <v>14995</v>
      </c>
      <c r="G4710" s="5">
        <v>2821064862</v>
      </c>
      <c r="H4710" s="4" t="s">
        <v>14996</v>
      </c>
      <c r="I4710" s="4" t="s">
        <v>14784</v>
      </c>
      <c r="J4710" s="4" t="s">
        <v>14997</v>
      </c>
      <c r="K4710" s="4" t="s">
        <v>14998</v>
      </c>
      <c r="L4710" s="5">
        <v>73100</v>
      </c>
    </row>
    <row r="4711" spans="1:12" x14ac:dyDescent="0.25">
      <c r="A4711" s="3" t="s">
        <v>13772</v>
      </c>
      <c r="B4711" s="4" t="s">
        <v>14772</v>
      </c>
      <c r="C4711" s="4" t="s">
        <v>25</v>
      </c>
      <c r="D4711" s="4" t="s">
        <v>26</v>
      </c>
      <c r="E4711" s="5" t="str">
        <f>"9500413"</f>
        <v>9500413</v>
      </c>
      <c r="F4711" s="3" t="s">
        <v>14999</v>
      </c>
      <c r="G4711" s="5">
        <v>2821064655</v>
      </c>
      <c r="H4711" s="4" t="s">
        <v>15000</v>
      </c>
      <c r="I4711" s="4" t="s">
        <v>14784</v>
      </c>
      <c r="J4711" s="4" t="s">
        <v>15001</v>
      </c>
      <c r="K4711" s="4" t="s">
        <v>15002</v>
      </c>
      <c r="L4711" s="5">
        <v>73100</v>
      </c>
    </row>
    <row r="4712" spans="1:12" x14ac:dyDescent="0.25">
      <c r="A4712" s="3" t="s">
        <v>13772</v>
      </c>
      <c r="B4712" s="4" t="s">
        <v>14772</v>
      </c>
      <c r="C4712" s="4" t="s">
        <v>25</v>
      </c>
      <c r="D4712" s="4" t="s">
        <v>26</v>
      </c>
      <c r="E4712" s="5" t="str">
        <f>"9500037"</f>
        <v>9500037</v>
      </c>
      <c r="F4712" s="3" t="s">
        <v>15003</v>
      </c>
      <c r="G4712" s="5">
        <v>2821054493</v>
      </c>
      <c r="H4712" s="4" t="s">
        <v>15004</v>
      </c>
      <c r="I4712" s="4" t="s">
        <v>14784</v>
      </c>
      <c r="J4712" s="4" t="s">
        <v>14784</v>
      </c>
      <c r="K4712" s="4" t="s">
        <v>14976</v>
      </c>
      <c r="L4712" s="5">
        <v>73100</v>
      </c>
    </row>
    <row r="4713" spans="1:12" x14ac:dyDescent="0.25">
      <c r="A4713" s="3" t="s">
        <v>13772</v>
      </c>
      <c r="B4713" s="4" t="s">
        <v>14772</v>
      </c>
      <c r="C4713" s="4" t="s">
        <v>25</v>
      </c>
      <c r="D4713" s="4" t="s">
        <v>821</v>
      </c>
      <c r="E4713" s="5" t="str">
        <f>"9500076"</f>
        <v>9500076</v>
      </c>
      <c r="F4713" s="3" t="s">
        <v>15005</v>
      </c>
      <c r="G4713" s="5">
        <v>2821027020</v>
      </c>
      <c r="H4713" s="4" t="s">
        <v>15006</v>
      </c>
      <c r="I4713" s="4" t="s">
        <v>14784</v>
      </c>
      <c r="J4713" s="4" t="s">
        <v>14784</v>
      </c>
      <c r="K4713" s="4" t="s">
        <v>15007</v>
      </c>
      <c r="L4713" s="5">
        <v>73132</v>
      </c>
    </row>
    <row r="4714" spans="1:12" x14ac:dyDescent="0.25">
      <c r="A4714" s="3" t="s">
        <v>13772</v>
      </c>
      <c r="B4714" s="4" t="s">
        <v>14772</v>
      </c>
      <c r="C4714" s="4" t="s">
        <v>14</v>
      </c>
      <c r="D4714" s="4" t="s">
        <v>15</v>
      </c>
      <c r="E4714" s="5" t="str">
        <f>"9500359"</f>
        <v>9500359</v>
      </c>
      <c r="F4714" s="3" t="s">
        <v>15008</v>
      </c>
      <c r="G4714" s="5">
        <v>2821095778</v>
      </c>
      <c r="H4714" s="4" t="s">
        <v>15009</v>
      </c>
      <c r="I4714" s="4" t="s">
        <v>14784</v>
      </c>
      <c r="J4714" s="4" t="s">
        <v>15010</v>
      </c>
      <c r="K4714" s="4" t="s">
        <v>15011</v>
      </c>
      <c r="L4714" s="5">
        <v>73300</v>
      </c>
    </row>
    <row r="4715" spans="1:12" x14ac:dyDescent="0.25">
      <c r="A4715" s="3" t="s">
        <v>13772</v>
      </c>
      <c r="B4715" s="4" t="s">
        <v>14772</v>
      </c>
      <c r="C4715" s="4" t="s">
        <v>14</v>
      </c>
      <c r="D4715" s="4" t="s">
        <v>15</v>
      </c>
      <c r="E4715" s="5" t="str">
        <f>"9500035"</f>
        <v>9500035</v>
      </c>
      <c r="F4715" s="3" t="s">
        <v>15012</v>
      </c>
      <c r="G4715" s="5">
        <v>2821094678</v>
      </c>
      <c r="H4715" s="4" t="s">
        <v>15013</v>
      </c>
      <c r="I4715" s="4" t="s">
        <v>14784</v>
      </c>
      <c r="J4715" s="4" t="s">
        <v>15014</v>
      </c>
      <c r="K4715" s="4" t="s">
        <v>15015</v>
      </c>
      <c r="L4715" s="5">
        <v>73134</v>
      </c>
    </row>
    <row r="4716" spans="1:12" x14ac:dyDescent="0.25">
      <c r="A4716" s="3" t="s">
        <v>13772</v>
      </c>
      <c r="B4716" s="4" t="s">
        <v>14772</v>
      </c>
      <c r="C4716" s="4" t="s">
        <v>25</v>
      </c>
      <c r="D4716" s="4" t="s">
        <v>26</v>
      </c>
      <c r="E4716" s="5" t="str">
        <f>"9500274"</f>
        <v>9500274</v>
      </c>
      <c r="F4716" s="3" t="s">
        <v>15016</v>
      </c>
      <c r="G4716" s="5">
        <v>2824022008</v>
      </c>
      <c r="H4716" s="4" t="s">
        <v>15017</v>
      </c>
      <c r="I4716" s="4" t="s">
        <v>14601</v>
      </c>
      <c r="J4716" s="4" t="s">
        <v>15018</v>
      </c>
      <c r="K4716" s="4" t="s">
        <v>15019</v>
      </c>
      <c r="L4716" s="5">
        <v>73006</v>
      </c>
    </row>
    <row r="4717" spans="1:12" x14ac:dyDescent="0.25">
      <c r="A4717" s="3" t="s">
        <v>13772</v>
      </c>
      <c r="B4717" s="4" t="s">
        <v>14772</v>
      </c>
      <c r="C4717" s="4" t="s">
        <v>25</v>
      </c>
      <c r="D4717" s="4" t="s">
        <v>26</v>
      </c>
      <c r="E4717" s="5" t="str">
        <f>"9500367"</f>
        <v>9500367</v>
      </c>
      <c r="F4717" s="3" t="s">
        <v>15020</v>
      </c>
      <c r="G4717" s="5">
        <v>2821031251</v>
      </c>
      <c r="H4717" s="4" t="s">
        <v>15021</v>
      </c>
      <c r="I4717" s="4" t="s">
        <v>14784</v>
      </c>
      <c r="J4717" s="4" t="s">
        <v>14788</v>
      </c>
      <c r="K4717" s="4" t="s">
        <v>15022</v>
      </c>
      <c r="L4717" s="5">
        <v>73100</v>
      </c>
    </row>
    <row r="4718" spans="1:12" x14ac:dyDescent="0.25">
      <c r="A4718" s="3" t="s">
        <v>13772</v>
      </c>
      <c r="B4718" s="4" t="s">
        <v>14772</v>
      </c>
      <c r="C4718" s="4" t="s">
        <v>25</v>
      </c>
      <c r="D4718" s="4" t="s">
        <v>26</v>
      </c>
      <c r="E4718" s="5" t="str">
        <f>"9500332"</f>
        <v>9500332</v>
      </c>
      <c r="F4718" s="3" t="s">
        <v>15023</v>
      </c>
      <c r="G4718" s="5">
        <v>2823042440</v>
      </c>
      <c r="H4718" s="4" t="s">
        <v>15024</v>
      </c>
      <c r="I4718" s="4" t="s">
        <v>14892</v>
      </c>
      <c r="J4718" s="4" t="s">
        <v>15025</v>
      </c>
      <c r="K4718" s="4" t="s">
        <v>15026</v>
      </c>
      <c r="L4718" s="5">
        <v>73001</v>
      </c>
    </row>
    <row r="4719" spans="1:12" x14ac:dyDescent="0.25">
      <c r="A4719" s="3" t="s">
        <v>13772</v>
      </c>
      <c r="B4719" s="4" t="s">
        <v>14772</v>
      </c>
      <c r="C4719" s="4" t="s">
        <v>14</v>
      </c>
      <c r="D4719" s="4" t="s">
        <v>15</v>
      </c>
      <c r="E4719" s="5" t="str">
        <f>"9500173"</f>
        <v>9500173</v>
      </c>
      <c r="F4719" s="3" t="s">
        <v>15027</v>
      </c>
      <c r="G4719" s="5">
        <v>2823022235</v>
      </c>
      <c r="H4719" s="4" t="s">
        <v>15028</v>
      </c>
      <c r="I4719" s="4" t="s">
        <v>14892</v>
      </c>
      <c r="J4719" s="4" t="s">
        <v>15029</v>
      </c>
      <c r="K4719" s="4" t="s">
        <v>15030</v>
      </c>
      <c r="L4719" s="5">
        <v>73004</v>
      </c>
    </row>
    <row r="4720" spans="1:12" x14ac:dyDescent="0.25">
      <c r="A4720" s="3" t="s">
        <v>13772</v>
      </c>
      <c r="B4720" s="4" t="s">
        <v>14772</v>
      </c>
      <c r="C4720" s="4" t="s">
        <v>14</v>
      </c>
      <c r="D4720" s="4" t="s">
        <v>15</v>
      </c>
      <c r="E4720" s="5" t="str">
        <f>"9500041"</f>
        <v>9500041</v>
      </c>
      <c r="F4720" s="3" t="s">
        <v>15031</v>
      </c>
      <c r="G4720" s="5">
        <v>2821028218</v>
      </c>
      <c r="H4720" s="4" t="s">
        <v>15032</v>
      </c>
      <c r="I4720" s="4" t="s">
        <v>14784</v>
      </c>
      <c r="J4720" s="4" t="s">
        <v>14924</v>
      </c>
      <c r="K4720" s="4" t="s">
        <v>15033</v>
      </c>
      <c r="L4720" s="5">
        <v>73132</v>
      </c>
    </row>
    <row r="4721" spans="1:12" x14ac:dyDescent="0.25">
      <c r="A4721" s="3" t="s">
        <v>13772</v>
      </c>
      <c r="B4721" s="4" t="s">
        <v>14772</v>
      </c>
      <c r="C4721" s="4" t="s">
        <v>14</v>
      </c>
      <c r="D4721" s="4" t="s">
        <v>15</v>
      </c>
      <c r="E4721" s="5" t="str">
        <f>"9500006"</f>
        <v>9500006</v>
      </c>
      <c r="F4721" s="3" t="s">
        <v>15034</v>
      </c>
      <c r="G4721" s="5">
        <v>2825051220</v>
      </c>
      <c r="H4721" s="4" t="s">
        <v>15035</v>
      </c>
      <c r="I4721" s="4" t="s">
        <v>14799</v>
      </c>
      <c r="J4721" s="4" t="s">
        <v>15036</v>
      </c>
      <c r="K4721" s="4" t="s">
        <v>14963</v>
      </c>
      <c r="L4721" s="5">
        <v>73007</v>
      </c>
    </row>
    <row r="4722" spans="1:12" x14ac:dyDescent="0.25">
      <c r="A4722" s="3" t="s">
        <v>13772</v>
      </c>
      <c r="B4722" s="4" t="s">
        <v>14772</v>
      </c>
      <c r="C4722" s="4" t="s">
        <v>25</v>
      </c>
      <c r="D4722" s="4" t="s">
        <v>26</v>
      </c>
      <c r="E4722" s="5" t="str">
        <f>"9500321"</f>
        <v>9500321</v>
      </c>
      <c r="F4722" s="3" t="s">
        <v>15037</v>
      </c>
      <c r="G4722" s="5">
        <v>2825061584</v>
      </c>
      <c r="H4722" s="4" t="s">
        <v>15038</v>
      </c>
      <c r="I4722" s="4" t="s">
        <v>14799</v>
      </c>
      <c r="J4722" s="4" t="s">
        <v>15039</v>
      </c>
      <c r="K4722" s="4" t="s">
        <v>15040</v>
      </c>
      <c r="L4722" s="5">
        <v>73007</v>
      </c>
    </row>
    <row r="4723" spans="1:12" x14ac:dyDescent="0.25">
      <c r="A4723" s="3" t="s">
        <v>13772</v>
      </c>
      <c r="B4723" s="4" t="s">
        <v>14772</v>
      </c>
      <c r="C4723" s="4" t="s">
        <v>14</v>
      </c>
      <c r="D4723" s="4" t="s">
        <v>15</v>
      </c>
      <c r="E4723" s="5" t="str">
        <f>"9500078"</f>
        <v>9500078</v>
      </c>
      <c r="F4723" s="3" t="s">
        <v>15041</v>
      </c>
      <c r="G4723" s="5">
        <v>2821028788</v>
      </c>
      <c r="H4723" s="4" t="s">
        <v>15042</v>
      </c>
      <c r="I4723" s="4" t="s">
        <v>14784</v>
      </c>
      <c r="J4723" s="4" t="s">
        <v>14924</v>
      </c>
      <c r="K4723" s="4" t="s">
        <v>15043</v>
      </c>
      <c r="L4723" s="5">
        <v>73134</v>
      </c>
    </row>
    <row r="4724" spans="1:12" x14ac:dyDescent="0.25">
      <c r="A4724" s="3" t="s">
        <v>13772</v>
      </c>
      <c r="B4724" s="4" t="s">
        <v>14772</v>
      </c>
      <c r="C4724" s="4" t="s">
        <v>14</v>
      </c>
      <c r="D4724" s="4" t="s">
        <v>15</v>
      </c>
      <c r="E4724" s="5" t="str">
        <f>"9500205"</f>
        <v>9500205</v>
      </c>
      <c r="F4724" s="3" t="s">
        <v>15044</v>
      </c>
      <c r="G4724" s="5">
        <v>2822031289</v>
      </c>
      <c r="H4724" s="4" t="s">
        <v>15045</v>
      </c>
      <c r="I4724" s="4" t="s">
        <v>14868</v>
      </c>
      <c r="J4724" s="4" t="s">
        <v>15046</v>
      </c>
      <c r="K4724" s="4" t="s">
        <v>15046</v>
      </c>
      <c r="L4724" s="5">
        <v>73400</v>
      </c>
    </row>
    <row r="4725" spans="1:12" x14ac:dyDescent="0.25">
      <c r="A4725" s="3" t="s">
        <v>13772</v>
      </c>
      <c r="B4725" s="4" t="s">
        <v>14772</v>
      </c>
      <c r="C4725" s="4" t="s">
        <v>14</v>
      </c>
      <c r="D4725" s="4" t="s">
        <v>15</v>
      </c>
      <c r="E4725" s="5" t="str">
        <f>"9500191"</f>
        <v>9500191</v>
      </c>
      <c r="F4725" s="3" t="s">
        <v>15047</v>
      </c>
      <c r="G4725" s="5">
        <v>2822022042</v>
      </c>
      <c r="H4725" s="4" t="s">
        <v>15048</v>
      </c>
      <c r="I4725" s="4" t="s">
        <v>14868</v>
      </c>
      <c r="J4725" s="4" t="s">
        <v>14869</v>
      </c>
      <c r="K4725" s="4" t="s">
        <v>14494</v>
      </c>
      <c r="L4725" s="5">
        <v>73400</v>
      </c>
    </row>
    <row r="4726" spans="1:12" x14ac:dyDescent="0.25">
      <c r="A4726" s="3" t="s">
        <v>13772</v>
      </c>
      <c r="B4726" s="4" t="s">
        <v>14772</v>
      </c>
      <c r="C4726" s="4" t="s">
        <v>14</v>
      </c>
      <c r="D4726" s="4" t="s">
        <v>15</v>
      </c>
      <c r="E4726" s="5" t="str">
        <f>"9500144"</f>
        <v>9500144</v>
      </c>
      <c r="F4726" s="3" t="s">
        <v>15049</v>
      </c>
      <c r="G4726" s="5">
        <v>2821094171</v>
      </c>
      <c r="H4726" s="4" t="s">
        <v>15050</v>
      </c>
      <c r="I4726" s="4" t="s">
        <v>14784</v>
      </c>
      <c r="J4726" s="4" t="s">
        <v>14924</v>
      </c>
      <c r="K4726" s="4" t="s">
        <v>14880</v>
      </c>
      <c r="L4726" s="5">
        <v>73131</v>
      </c>
    </row>
    <row r="4727" spans="1:12" x14ac:dyDescent="0.25">
      <c r="A4727" s="3" t="s">
        <v>13772</v>
      </c>
      <c r="B4727" s="4" t="s">
        <v>14772</v>
      </c>
      <c r="C4727" s="4" t="s">
        <v>25</v>
      </c>
      <c r="D4727" s="4" t="s">
        <v>26</v>
      </c>
      <c r="E4727" s="5" t="str">
        <f>"9521009"</f>
        <v>9521009</v>
      </c>
      <c r="F4727" s="3" t="s">
        <v>15051</v>
      </c>
      <c r="G4727" s="5">
        <v>2822023452</v>
      </c>
      <c r="H4727" s="4" t="s">
        <v>15052</v>
      </c>
      <c r="I4727" s="4" t="s">
        <v>14868</v>
      </c>
      <c r="J4727" s="4" t="s">
        <v>14869</v>
      </c>
      <c r="K4727" s="4" t="s">
        <v>14869</v>
      </c>
      <c r="L4727" s="5">
        <v>73400</v>
      </c>
    </row>
    <row r="4728" spans="1:12" x14ac:dyDescent="0.25">
      <c r="A4728" s="3" t="s">
        <v>13772</v>
      </c>
      <c r="B4728" s="4" t="s">
        <v>14772</v>
      </c>
      <c r="C4728" s="4" t="s">
        <v>14</v>
      </c>
      <c r="D4728" s="4" t="s">
        <v>179</v>
      </c>
      <c r="E4728" s="5" t="str">
        <f>"9500184"</f>
        <v>9500184</v>
      </c>
      <c r="F4728" s="3" t="s">
        <v>15053</v>
      </c>
      <c r="G4728" s="5">
        <v>2823051220</v>
      </c>
      <c r="H4728" s="4" t="s">
        <v>15054</v>
      </c>
      <c r="I4728" s="4" t="s">
        <v>14892</v>
      </c>
      <c r="J4728" s="4" t="s">
        <v>15055</v>
      </c>
      <c r="K4728" s="4" t="s">
        <v>15056</v>
      </c>
      <c r="L4728" s="5">
        <v>73009</v>
      </c>
    </row>
    <row r="4729" spans="1:12" x14ac:dyDescent="0.25">
      <c r="A4729" s="3" t="s">
        <v>13772</v>
      </c>
      <c r="B4729" s="4" t="s">
        <v>14772</v>
      </c>
      <c r="C4729" s="4" t="s">
        <v>14</v>
      </c>
      <c r="D4729" s="4" t="s">
        <v>15</v>
      </c>
      <c r="E4729" s="5" t="str">
        <f>"9500175"</f>
        <v>9500175</v>
      </c>
      <c r="F4729" s="3" t="s">
        <v>15057</v>
      </c>
      <c r="G4729" s="5">
        <v>2823041233</v>
      </c>
      <c r="H4729" s="4" t="s">
        <v>15058</v>
      </c>
      <c r="I4729" s="4" t="s">
        <v>14892</v>
      </c>
      <c r="J4729" s="4" t="s">
        <v>13715</v>
      </c>
      <c r="K4729" s="4" t="s">
        <v>13715</v>
      </c>
      <c r="L4729" s="5">
        <v>73001</v>
      </c>
    </row>
    <row r="4730" spans="1:12" x14ac:dyDescent="0.25">
      <c r="A4730" s="3" t="s">
        <v>13772</v>
      </c>
      <c r="B4730" s="4" t="s">
        <v>14772</v>
      </c>
      <c r="C4730" s="4" t="s">
        <v>14</v>
      </c>
      <c r="D4730" s="4" t="s">
        <v>15</v>
      </c>
      <c r="E4730" s="5" t="str">
        <f>"9500259"</f>
        <v>9500259</v>
      </c>
      <c r="F4730" s="3" t="s">
        <v>15059</v>
      </c>
      <c r="G4730" s="5">
        <v>2823041459</v>
      </c>
      <c r="H4730" s="4" t="s">
        <v>15060</v>
      </c>
      <c r="I4730" s="4" t="s">
        <v>14892</v>
      </c>
      <c r="J4730" s="4" t="s">
        <v>15026</v>
      </c>
      <c r="K4730" s="4" t="s">
        <v>15026</v>
      </c>
      <c r="L4730" s="5">
        <v>73001</v>
      </c>
    </row>
    <row r="4731" spans="1:12" x14ac:dyDescent="0.25">
      <c r="A4731" s="3" t="s">
        <v>13772</v>
      </c>
      <c r="B4731" s="4" t="s">
        <v>14772</v>
      </c>
      <c r="C4731" s="4" t="s">
        <v>14</v>
      </c>
      <c r="D4731" s="4" t="s">
        <v>15</v>
      </c>
      <c r="E4731" s="5" t="str">
        <f>"9500225"</f>
        <v>9500225</v>
      </c>
      <c r="F4731" s="3" t="s">
        <v>15061</v>
      </c>
      <c r="G4731" s="5">
        <v>2822041233</v>
      </c>
      <c r="H4731" s="4" t="s">
        <v>15062</v>
      </c>
      <c r="I4731" s="4" t="s">
        <v>14868</v>
      </c>
      <c r="J4731" s="4" t="s">
        <v>14987</v>
      </c>
      <c r="K4731" s="4" t="s">
        <v>14987</v>
      </c>
      <c r="L4731" s="5">
        <v>73400</v>
      </c>
    </row>
    <row r="4732" spans="1:12" x14ac:dyDescent="0.25">
      <c r="A4732" s="3" t="s">
        <v>13772</v>
      </c>
      <c r="B4732" s="4" t="s">
        <v>14772</v>
      </c>
      <c r="C4732" s="4" t="s">
        <v>14</v>
      </c>
      <c r="D4732" s="4" t="s">
        <v>15</v>
      </c>
      <c r="E4732" s="5" t="str">
        <f>"9500081"</f>
        <v>9500081</v>
      </c>
      <c r="F4732" s="3" t="s">
        <v>15063</v>
      </c>
      <c r="G4732" s="5">
        <v>2821077150</v>
      </c>
      <c r="H4732" s="4" t="s">
        <v>15064</v>
      </c>
      <c r="I4732" s="4" t="s">
        <v>14601</v>
      </c>
      <c r="J4732" s="4" t="s">
        <v>15065</v>
      </c>
      <c r="K4732" s="4" t="s">
        <v>15066</v>
      </c>
      <c r="L4732" s="5">
        <v>73005</v>
      </c>
    </row>
    <row r="4733" spans="1:12" x14ac:dyDescent="0.25">
      <c r="A4733" s="3" t="s">
        <v>13772</v>
      </c>
      <c r="B4733" s="4" t="s">
        <v>14772</v>
      </c>
      <c r="C4733" s="4" t="s">
        <v>14</v>
      </c>
      <c r="D4733" s="4" t="s">
        <v>15</v>
      </c>
      <c r="E4733" s="5" t="str">
        <f>"9500045"</f>
        <v>9500045</v>
      </c>
      <c r="F4733" s="3" t="s">
        <v>15067</v>
      </c>
      <c r="G4733" s="5">
        <v>2821044369</v>
      </c>
      <c r="H4733" s="4" t="s">
        <v>15068</v>
      </c>
      <c r="I4733" s="4" t="s">
        <v>14784</v>
      </c>
      <c r="J4733" s="4" t="s">
        <v>14924</v>
      </c>
      <c r="K4733" s="4" t="s">
        <v>14877</v>
      </c>
      <c r="L4733" s="5">
        <v>73133</v>
      </c>
    </row>
    <row r="4734" spans="1:12" x14ac:dyDescent="0.25">
      <c r="A4734" s="3" t="s">
        <v>13772</v>
      </c>
      <c r="B4734" s="4" t="s">
        <v>14772</v>
      </c>
      <c r="C4734" s="4" t="s">
        <v>14</v>
      </c>
      <c r="D4734" s="4" t="s">
        <v>15</v>
      </c>
      <c r="E4734" s="5" t="str">
        <f>"9500070"</f>
        <v>9500070</v>
      </c>
      <c r="F4734" s="3" t="s">
        <v>15069</v>
      </c>
      <c r="G4734" s="5">
        <v>2821095817</v>
      </c>
      <c r="H4734" s="4" t="s">
        <v>15070</v>
      </c>
      <c r="I4734" s="4" t="s">
        <v>14784</v>
      </c>
      <c r="J4734" s="4" t="s">
        <v>15071</v>
      </c>
      <c r="K4734" s="4" t="s">
        <v>15072</v>
      </c>
      <c r="L4734" s="5">
        <v>73135</v>
      </c>
    </row>
    <row r="4735" spans="1:12" x14ac:dyDescent="0.25">
      <c r="A4735" s="3" t="s">
        <v>13772</v>
      </c>
      <c r="B4735" s="4" t="s">
        <v>14772</v>
      </c>
      <c r="C4735" s="4" t="s">
        <v>14</v>
      </c>
      <c r="D4735" s="4" t="s">
        <v>15</v>
      </c>
      <c r="E4735" s="5" t="str">
        <f>"9500160"</f>
        <v>9500160</v>
      </c>
      <c r="F4735" s="3" t="s">
        <v>15073</v>
      </c>
      <c r="G4735" s="5">
        <v>2821062458</v>
      </c>
      <c r="H4735" s="4" t="s">
        <v>15074</v>
      </c>
      <c r="I4735" s="4" t="s">
        <v>14601</v>
      </c>
      <c r="J4735" s="4" t="s">
        <v>14815</v>
      </c>
      <c r="K4735" s="4" t="s">
        <v>14815</v>
      </c>
      <c r="L4735" s="5">
        <v>73014</v>
      </c>
    </row>
    <row r="4736" spans="1:12" x14ac:dyDescent="0.25">
      <c r="A4736" s="3" t="s">
        <v>13772</v>
      </c>
      <c r="B4736" s="4" t="s">
        <v>14772</v>
      </c>
      <c r="C4736" s="4" t="s">
        <v>14</v>
      </c>
      <c r="D4736" s="4" t="s">
        <v>830</v>
      </c>
      <c r="E4736" s="5" t="str">
        <f>"9500077"</f>
        <v>9500077</v>
      </c>
      <c r="F4736" s="3" t="s">
        <v>15075</v>
      </c>
      <c r="G4736" s="5">
        <v>2821054404</v>
      </c>
      <c r="H4736" s="4" t="s">
        <v>15076</v>
      </c>
      <c r="I4736" s="4" t="s">
        <v>14784</v>
      </c>
      <c r="J4736" s="4" t="s">
        <v>14924</v>
      </c>
      <c r="K4736" s="4" t="s">
        <v>15077</v>
      </c>
      <c r="L4736" s="5">
        <v>73132</v>
      </c>
    </row>
    <row r="4737" spans="1:12" x14ac:dyDescent="0.25">
      <c r="A4737" s="3" t="s">
        <v>13772</v>
      </c>
      <c r="B4737" s="4" t="s">
        <v>14772</v>
      </c>
      <c r="C4737" s="4" t="s">
        <v>14</v>
      </c>
      <c r="D4737" s="4" t="s">
        <v>15</v>
      </c>
      <c r="E4737" s="5" t="str">
        <f>"9500024"</f>
        <v>9500024</v>
      </c>
      <c r="F4737" s="3" t="s">
        <v>15078</v>
      </c>
      <c r="G4737" s="5">
        <v>2825041345</v>
      </c>
      <c r="H4737" s="4" t="s">
        <v>15079</v>
      </c>
      <c r="I4737" s="4" t="s">
        <v>14799</v>
      </c>
      <c r="J4737" s="4" t="s">
        <v>15080</v>
      </c>
      <c r="K4737" s="4" t="s">
        <v>15080</v>
      </c>
      <c r="L4737" s="5">
        <v>73003</v>
      </c>
    </row>
    <row r="4738" spans="1:12" x14ac:dyDescent="0.25">
      <c r="A4738" s="3" t="s">
        <v>13772</v>
      </c>
      <c r="B4738" s="4" t="s">
        <v>14772</v>
      </c>
      <c r="C4738" s="4" t="s">
        <v>14</v>
      </c>
      <c r="D4738" s="4" t="s">
        <v>15</v>
      </c>
      <c r="E4738" s="5" t="str">
        <f>"9500338"</f>
        <v>9500338</v>
      </c>
      <c r="F4738" s="3" t="s">
        <v>15081</v>
      </c>
      <c r="G4738" s="5">
        <v>2821040556</v>
      </c>
      <c r="H4738" s="4" t="s">
        <v>15082</v>
      </c>
      <c r="I4738" s="4" t="s">
        <v>14784</v>
      </c>
      <c r="J4738" s="4" t="s">
        <v>14924</v>
      </c>
      <c r="K4738" s="4" t="s">
        <v>15083</v>
      </c>
      <c r="L4738" s="5">
        <v>73134</v>
      </c>
    </row>
    <row r="4739" spans="1:12" x14ac:dyDescent="0.25">
      <c r="A4739" s="3" t="s">
        <v>13772</v>
      </c>
      <c r="B4739" s="4" t="s">
        <v>14772</v>
      </c>
      <c r="C4739" s="4" t="s">
        <v>14</v>
      </c>
      <c r="D4739" s="4" t="s">
        <v>15</v>
      </c>
      <c r="E4739" s="5" t="str">
        <f>"9500115"</f>
        <v>9500115</v>
      </c>
      <c r="F4739" s="3" t="s">
        <v>15084</v>
      </c>
      <c r="G4739" s="5">
        <v>2821081133</v>
      </c>
      <c r="H4739" s="4" t="s">
        <v>15085</v>
      </c>
      <c r="I4739" s="4" t="s">
        <v>14784</v>
      </c>
      <c r="J4739" s="4" t="s">
        <v>15086</v>
      </c>
      <c r="K4739" s="4" t="s">
        <v>15087</v>
      </c>
      <c r="L4739" s="5">
        <v>73200</v>
      </c>
    </row>
    <row r="4740" spans="1:12" x14ac:dyDescent="0.25">
      <c r="A4740" s="3" t="s">
        <v>13772</v>
      </c>
      <c r="B4740" s="4" t="s">
        <v>14772</v>
      </c>
      <c r="C4740" s="4" t="s">
        <v>14</v>
      </c>
      <c r="D4740" s="4" t="s">
        <v>15</v>
      </c>
      <c r="E4740" s="5" t="str">
        <f>"9500236"</f>
        <v>9500236</v>
      </c>
      <c r="F4740" s="3" t="s">
        <v>15088</v>
      </c>
      <c r="G4740" s="5">
        <v>2824022347</v>
      </c>
      <c r="H4740" s="4" t="s">
        <v>15089</v>
      </c>
      <c r="I4740" s="4" t="s">
        <v>14601</v>
      </c>
      <c r="J4740" s="4" t="s">
        <v>14973</v>
      </c>
      <c r="K4740" s="4" t="s">
        <v>15090</v>
      </c>
      <c r="L4740" s="5">
        <v>73006</v>
      </c>
    </row>
    <row r="4741" spans="1:12" ht="30" x14ac:dyDescent="0.25">
      <c r="A4741" s="3" t="s">
        <v>13772</v>
      </c>
      <c r="B4741" s="4" t="s">
        <v>14772</v>
      </c>
      <c r="C4741" s="4" t="s">
        <v>14</v>
      </c>
      <c r="D4741" s="4" t="s">
        <v>960</v>
      </c>
      <c r="E4741" s="5" t="str">
        <f>"9500140"</f>
        <v>9500140</v>
      </c>
      <c r="F4741" s="3" t="s">
        <v>15091</v>
      </c>
      <c r="G4741" s="5">
        <v>2821097348</v>
      </c>
      <c r="H4741" s="4" t="s">
        <v>15092</v>
      </c>
      <c r="I4741" s="4" t="s">
        <v>14784</v>
      </c>
      <c r="J4741" s="4" t="s">
        <v>14924</v>
      </c>
      <c r="K4741" s="4" t="s">
        <v>15093</v>
      </c>
      <c r="L4741" s="5">
        <v>73136</v>
      </c>
    </row>
    <row r="4742" spans="1:12" x14ac:dyDescent="0.25">
      <c r="A4742" s="3" t="s">
        <v>13772</v>
      </c>
      <c r="B4742" s="4" t="s">
        <v>14772</v>
      </c>
      <c r="C4742" s="4" t="s">
        <v>14</v>
      </c>
      <c r="D4742" s="4" t="s">
        <v>15</v>
      </c>
      <c r="E4742" s="5" t="str">
        <f>"9500218"</f>
        <v>9500218</v>
      </c>
      <c r="F4742" s="3" t="s">
        <v>15094</v>
      </c>
      <c r="G4742" s="5">
        <v>2824022216</v>
      </c>
      <c r="H4742" s="4" t="s">
        <v>15095</v>
      </c>
      <c r="I4742" s="4" t="s">
        <v>14601</v>
      </c>
      <c r="J4742" s="4" t="s">
        <v>15019</v>
      </c>
      <c r="K4742" s="4" t="s">
        <v>15096</v>
      </c>
      <c r="L4742" s="5">
        <v>73006</v>
      </c>
    </row>
    <row r="4743" spans="1:12" x14ac:dyDescent="0.25">
      <c r="A4743" s="3" t="s">
        <v>13772</v>
      </c>
      <c r="B4743" s="4" t="s">
        <v>14772</v>
      </c>
      <c r="C4743" s="4" t="s">
        <v>14</v>
      </c>
      <c r="D4743" s="4" t="s">
        <v>15</v>
      </c>
      <c r="E4743" s="5" t="str">
        <f>"9500040"</f>
        <v>9500040</v>
      </c>
      <c r="F4743" s="3" t="s">
        <v>15097</v>
      </c>
      <c r="G4743" s="5">
        <v>2821045356</v>
      </c>
      <c r="H4743" s="4" t="s">
        <v>15098</v>
      </c>
      <c r="I4743" s="4" t="s">
        <v>14784</v>
      </c>
      <c r="J4743" s="4" t="s">
        <v>14924</v>
      </c>
      <c r="K4743" s="4" t="s">
        <v>14842</v>
      </c>
      <c r="L4743" s="5">
        <v>73134</v>
      </c>
    </row>
    <row r="4744" spans="1:12" x14ac:dyDescent="0.25">
      <c r="A4744" s="3" t="s">
        <v>13772</v>
      </c>
      <c r="B4744" s="4" t="s">
        <v>14772</v>
      </c>
      <c r="C4744" s="4" t="s">
        <v>14</v>
      </c>
      <c r="D4744" s="4" t="s">
        <v>15</v>
      </c>
      <c r="E4744" s="5" t="str">
        <f>"9500153"</f>
        <v>9500153</v>
      </c>
      <c r="F4744" s="3" t="s">
        <v>15099</v>
      </c>
      <c r="G4744" s="5">
        <v>2821061267</v>
      </c>
      <c r="H4744" s="4" t="s">
        <v>15100</v>
      </c>
      <c r="I4744" s="4" t="s">
        <v>14601</v>
      </c>
      <c r="J4744" s="4" t="s">
        <v>14704</v>
      </c>
      <c r="K4744" s="4" t="s">
        <v>14704</v>
      </c>
      <c r="L4744" s="5">
        <v>73014</v>
      </c>
    </row>
    <row r="4745" spans="1:12" x14ac:dyDescent="0.25">
      <c r="A4745" s="3" t="s">
        <v>13772</v>
      </c>
      <c r="B4745" s="4" t="s">
        <v>14772</v>
      </c>
      <c r="C4745" s="4" t="s">
        <v>14</v>
      </c>
      <c r="D4745" s="4" t="s">
        <v>15</v>
      </c>
      <c r="E4745" s="5" t="str">
        <f>"9500083"</f>
        <v>9500083</v>
      </c>
      <c r="F4745" s="3" t="s">
        <v>15101</v>
      </c>
      <c r="G4745" s="5">
        <v>2821063500</v>
      </c>
      <c r="H4745" s="4" t="s">
        <v>15102</v>
      </c>
      <c r="I4745" s="4" t="s">
        <v>14784</v>
      </c>
      <c r="J4745" s="4" t="s">
        <v>14924</v>
      </c>
      <c r="K4745" s="4" t="s">
        <v>15103</v>
      </c>
      <c r="L4745" s="5">
        <v>73100</v>
      </c>
    </row>
    <row r="4746" spans="1:12" x14ac:dyDescent="0.25">
      <c r="A4746" s="3" t="s">
        <v>13772</v>
      </c>
      <c r="B4746" s="4" t="s">
        <v>14772</v>
      </c>
      <c r="C4746" s="4" t="s">
        <v>14</v>
      </c>
      <c r="D4746" s="4" t="s">
        <v>15</v>
      </c>
      <c r="E4746" s="5" t="str">
        <f>"9500114"</f>
        <v>9500114</v>
      </c>
      <c r="F4746" s="3" t="s">
        <v>15104</v>
      </c>
      <c r="G4746" s="5">
        <v>2821180608</v>
      </c>
      <c r="H4746" s="4" t="s">
        <v>15105</v>
      </c>
      <c r="I4746" s="4" t="s">
        <v>14784</v>
      </c>
      <c r="J4746" s="4" t="s">
        <v>14924</v>
      </c>
      <c r="K4746" s="4" t="s">
        <v>15106</v>
      </c>
      <c r="L4746" s="5">
        <v>73100</v>
      </c>
    </row>
    <row r="4747" spans="1:12" x14ac:dyDescent="0.25">
      <c r="A4747" s="3" t="s">
        <v>13772</v>
      </c>
      <c r="B4747" s="4" t="s">
        <v>14772</v>
      </c>
      <c r="C4747" s="4" t="s">
        <v>14</v>
      </c>
      <c r="D4747" s="4" t="s">
        <v>15</v>
      </c>
      <c r="E4747" s="5" t="str">
        <f>"9500093"</f>
        <v>9500093</v>
      </c>
      <c r="F4747" s="3" t="s">
        <v>15107</v>
      </c>
      <c r="G4747" s="5">
        <v>2821064537</v>
      </c>
      <c r="H4747" s="4" t="s">
        <v>15108</v>
      </c>
      <c r="I4747" s="4" t="s">
        <v>14784</v>
      </c>
      <c r="J4747" s="4" t="s">
        <v>15109</v>
      </c>
      <c r="K4747" s="4" t="s">
        <v>15110</v>
      </c>
      <c r="L4747" s="5">
        <v>73100</v>
      </c>
    </row>
    <row r="4748" spans="1:12" x14ac:dyDescent="0.25">
      <c r="A4748" s="3" t="s">
        <v>13772</v>
      </c>
      <c r="B4748" s="4" t="s">
        <v>14772</v>
      </c>
      <c r="C4748" s="4" t="s">
        <v>14</v>
      </c>
      <c r="D4748" s="4" t="s">
        <v>15</v>
      </c>
      <c r="E4748" s="5" t="str">
        <f>"9500017"</f>
        <v>9500017</v>
      </c>
      <c r="F4748" s="3" t="s">
        <v>15111</v>
      </c>
      <c r="G4748" s="5">
        <v>2825083173</v>
      </c>
      <c r="H4748" s="4" t="s">
        <v>15112</v>
      </c>
      <c r="I4748" s="4" t="s">
        <v>14799</v>
      </c>
      <c r="J4748" s="4" t="s">
        <v>13581</v>
      </c>
      <c r="K4748" s="4" t="s">
        <v>15113</v>
      </c>
      <c r="L4748" s="5">
        <v>73003</v>
      </c>
    </row>
    <row r="4749" spans="1:12" ht="30" x14ac:dyDescent="0.25">
      <c r="A4749" s="3" t="s">
        <v>13772</v>
      </c>
      <c r="B4749" s="4" t="s">
        <v>14772</v>
      </c>
      <c r="C4749" s="4" t="s">
        <v>14</v>
      </c>
      <c r="D4749" s="4" t="s">
        <v>15</v>
      </c>
      <c r="E4749" s="5" t="str">
        <f>"9500360"</f>
        <v>9500360</v>
      </c>
      <c r="F4749" s="3" t="s">
        <v>15114</v>
      </c>
      <c r="G4749" s="5">
        <v>2821031253</v>
      </c>
      <c r="H4749" s="4" t="s">
        <v>15115</v>
      </c>
      <c r="I4749" s="4" t="s">
        <v>14784</v>
      </c>
      <c r="J4749" s="4" t="s">
        <v>15116</v>
      </c>
      <c r="K4749" s="4" t="s">
        <v>15117</v>
      </c>
      <c r="L4749" s="5">
        <v>73100</v>
      </c>
    </row>
    <row r="4750" spans="1:12" x14ac:dyDescent="0.25">
      <c r="A4750" s="3" t="s">
        <v>13772</v>
      </c>
      <c r="B4750" s="4" t="s">
        <v>14772</v>
      </c>
      <c r="C4750" s="4" t="s">
        <v>14</v>
      </c>
      <c r="D4750" s="4" t="s">
        <v>15</v>
      </c>
      <c r="E4750" s="5" t="str">
        <f>"9500314"</f>
        <v>9500314</v>
      </c>
      <c r="F4750" s="3" t="s">
        <v>15118</v>
      </c>
      <c r="G4750" s="5">
        <v>2821097640</v>
      </c>
      <c r="H4750" s="4" t="s">
        <v>15119</v>
      </c>
      <c r="I4750" s="4" t="s">
        <v>14784</v>
      </c>
      <c r="J4750" s="4" t="s">
        <v>15120</v>
      </c>
      <c r="K4750" s="4" t="s">
        <v>14776</v>
      </c>
      <c r="L4750" s="5">
        <v>73136</v>
      </c>
    </row>
    <row r="4751" spans="1:12" x14ac:dyDescent="0.25">
      <c r="A4751" s="3" t="s">
        <v>13772</v>
      </c>
      <c r="B4751" s="4" t="s">
        <v>14772</v>
      </c>
      <c r="C4751" s="4" t="s">
        <v>14</v>
      </c>
      <c r="D4751" s="4" t="s">
        <v>179</v>
      </c>
      <c r="E4751" s="5" t="str">
        <f>"9500012"</f>
        <v>9500012</v>
      </c>
      <c r="F4751" s="3" t="s">
        <v>15121</v>
      </c>
      <c r="G4751" s="5">
        <v>2825051487</v>
      </c>
      <c r="H4751" s="4" t="s">
        <v>15122</v>
      </c>
      <c r="I4751" s="4" t="s">
        <v>14799</v>
      </c>
      <c r="J4751" s="4" t="s">
        <v>15123</v>
      </c>
      <c r="K4751" s="4" t="s">
        <v>15124</v>
      </c>
      <c r="L4751" s="5">
        <v>73007</v>
      </c>
    </row>
    <row r="4752" spans="1:12" x14ac:dyDescent="0.25">
      <c r="A4752" s="3" t="s">
        <v>13772</v>
      </c>
      <c r="B4752" s="4" t="s">
        <v>14772</v>
      </c>
      <c r="C4752" s="4" t="s">
        <v>14</v>
      </c>
      <c r="D4752" s="4" t="s">
        <v>15</v>
      </c>
      <c r="E4752" s="5" t="str">
        <f>"9500084"</f>
        <v>9500084</v>
      </c>
      <c r="F4752" s="3" t="s">
        <v>15125</v>
      </c>
      <c r="G4752" s="5">
        <v>2821031270</v>
      </c>
      <c r="H4752" s="4" t="s">
        <v>15126</v>
      </c>
      <c r="I4752" s="4" t="s">
        <v>14784</v>
      </c>
      <c r="J4752" s="4" t="s">
        <v>15127</v>
      </c>
      <c r="K4752" s="4" t="s">
        <v>15128</v>
      </c>
      <c r="L4752" s="5">
        <v>73100</v>
      </c>
    </row>
    <row r="4753" spans="1:12" x14ac:dyDescent="0.25">
      <c r="A4753" s="3" t="s">
        <v>13772</v>
      </c>
      <c r="B4753" s="4" t="s">
        <v>14772</v>
      </c>
      <c r="C4753" s="4" t="s">
        <v>14</v>
      </c>
      <c r="D4753" s="4" t="s">
        <v>15</v>
      </c>
      <c r="E4753" s="5" t="str">
        <f>"9500071"</f>
        <v>9500071</v>
      </c>
      <c r="F4753" s="3" t="s">
        <v>15129</v>
      </c>
      <c r="G4753" s="5">
        <v>2821093760</v>
      </c>
      <c r="H4753" s="4" t="s">
        <v>15130</v>
      </c>
      <c r="I4753" s="4" t="s">
        <v>14784</v>
      </c>
      <c r="J4753" s="4" t="s">
        <v>14924</v>
      </c>
      <c r="K4753" s="4" t="s">
        <v>14969</v>
      </c>
      <c r="L4753" s="5">
        <v>73135</v>
      </c>
    </row>
    <row r="4754" spans="1:12" x14ac:dyDescent="0.25">
      <c r="A4754" s="3" t="s">
        <v>13772</v>
      </c>
      <c r="B4754" s="4" t="s">
        <v>14772</v>
      </c>
      <c r="C4754" s="4" t="s">
        <v>14</v>
      </c>
      <c r="D4754" s="4" t="s">
        <v>15</v>
      </c>
      <c r="E4754" s="5" t="str">
        <f>"9500094"</f>
        <v>9500094</v>
      </c>
      <c r="F4754" s="3" t="s">
        <v>15131</v>
      </c>
      <c r="G4754" s="5">
        <v>2821039330</v>
      </c>
      <c r="H4754" s="4" t="s">
        <v>15132</v>
      </c>
      <c r="I4754" s="4" t="s">
        <v>14784</v>
      </c>
      <c r="J4754" s="4" t="s">
        <v>15133</v>
      </c>
      <c r="K4754" s="4" t="s">
        <v>15134</v>
      </c>
      <c r="L4754" s="5">
        <v>73100</v>
      </c>
    </row>
    <row r="4755" spans="1:12" x14ac:dyDescent="0.25">
      <c r="A4755" s="3" t="s">
        <v>13772</v>
      </c>
      <c r="B4755" s="4" t="s">
        <v>14772</v>
      </c>
      <c r="C4755" s="4" t="s">
        <v>14</v>
      </c>
      <c r="D4755" s="4" t="s">
        <v>15</v>
      </c>
      <c r="E4755" s="5" t="str">
        <f>"9500315"</f>
        <v>9500315</v>
      </c>
      <c r="F4755" s="3" t="s">
        <v>15135</v>
      </c>
      <c r="G4755" s="5">
        <v>2821040565</v>
      </c>
      <c r="H4755" s="4" t="s">
        <v>15136</v>
      </c>
      <c r="I4755" s="4" t="s">
        <v>14784</v>
      </c>
      <c r="J4755" s="4" t="s">
        <v>15137</v>
      </c>
      <c r="K4755" s="4" t="s">
        <v>15138</v>
      </c>
      <c r="L4755" s="5">
        <v>73133</v>
      </c>
    </row>
    <row r="4756" spans="1:12" x14ac:dyDescent="0.25">
      <c r="A4756" s="3" t="s">
        <v>13772</v>
      </c>
      <c r="B4756" s="4" t="s">
        <v>14772</v>
      </c>
      <c r="C4756" s="4" t="s">
        <v>14</v>
      </c>
      <c r="D4756" s="4" t="s">
        <v>15</v>
      </c>
      <c r="E4756" s="5" t="str">
        <f>"9500139"</f>
        <v>9500139</v>
      </c>
      <c r="F4756" s="3" t="s">
        <v>15139</v>
      </c>
      <c r="G4756" s="5">
        <v>2821096819</v>
      </c>
      <c r="H4756" s="4" t="s">
        <v>15140</v>
      </c>
      <c r="I4756" s="4" t="s">
        <v>14784</v>
      </c>
      <c r="J4756" s="4" t="s">
        <v>14924</v>
      </c>
      <c r="K4756" s="4" t="s">
        <v>15141</v>
      </c>
      <c r="L4756" s="5">
        <v>73131</v>
      </c>
    </row>
    <row r="4757" spans="1:12" x14ac:dyDescent="0.25">
      <c r="A4757" s="3" t="s">
        <v>13772</v>
      </c>
      <c r="B4757" s="4" t="s">
        <v>14772</v>
      </c>
      <c r="C4757" s="4" t="s">
        <v>14</v>
      </c>
      <c r="D4757" s="4" t="s">
        <v>15</v>
      </c>
      <c r="E4757" s="5" t="str">
        <f>"9500113"</f>
        <v>9500113</v>
      </c>
      <c r="F4757" s="3" t="s">
        <v>15142</v>
      </c>
      <c r="G4757" s="5">
        <v>2821077187</v>
      </c>
      <c r="H4757" s="4" t="s">
        <v>15143</v>
      </c>
      <c r="I4757" s="4" t="s">
        <v>14601</v>
      </c>
      <c r="J4757" s="4" t="s">
        <v>15144</v>
      </c>
      <c r="K4757" s="4" t="s">
        <v>15145</v>
      </c>
      <c r="L4757" s="5">
        <v>73005</v>
      </c>
    </row>
    <row r="4758" spans="1:12" x14ac:dyDescent="0.25">
      <c r="A4758" s="3" t="s">
        <v>13772</v>
      </c>
      <c r="B4758" s="4" t="s">
        <v>14772</v>
      </c>
      <c r="C4758" s="4" t="s">
        <v>14</v>
      </c>
      <c r="D4758" s="4" t="s">
        <v>15</v>
      </c>
      <c r="E4758" s="5" t="str">
        <f>"9520693"</f>
        <v>9520693</v>
      </c>
      <c r="F4758" s="3" t="s">
        <v>15146</v>
      </c>
      <c r="G4758" s="5">
        <v>2821066910</v>
      </c>
      <c r="H4758" s="4" t="s">
        <v>15147</v>
      </c>
      <c r="I4758" s="4" t="s">
        <v>14784</v>
      </c>
      <c r="J4758" s="4" t="s">
        <v>15148</v>
      </c>
      <c r="K4758" s="4" t="s">
        <v>15149</v>
      </c>
      <c r="L4758" s="5">
        <v>73100</v>
      </c>
    </row>
    <row r="4759" spans="1:12" x14ac:dyDescent="0.25">
      <c r="A4759" s="3" t="s">
        <v>13772</v>
      </c>
      <c r="B4759" s="4" t="s">
        <v>14772</v>
      </c>
      <c r="C4759" s="4" t="s">
        <v>14</v>
      </c>
      <c r="D4759" s="4" t="s">
        <v>15</v>
      </c>
      <c r="E4759" s="5" t="str">
        <f>"9500147"</f>
        <v>9500147</v>
      </c>
      <c r="F4759" s="3" t="s">
        <v>15150</v>
      </c>
      <c r="G4759" s="5">
        <v>2821094573</v>
      </c>
      <c r="H4759" s="4" t="s">
        <v>15151</v>
      </c>
      <c r="I4759" s="4" t="s">
        <v>14784</v>
      </c>
      <c r="J4759" s="4" t="s">
        <v>14924</v>
      </c>
      <c r="K4759" s="4" t="s">
        <v>15152</v>
      </c>
      <c r="L4759" s="5">
        <v>73131</v>
      </c>
    </row>
    <row r="4760" spans="1:12" x14ac:dyDescent="0.25">
      <c r="A4760" s="3" t="s">
        <v>13772</v>
      </c>
      <c r="B4760" s="4" t="s">
        <v>14772</v>
      </c>
      <c r="C4760" s="4" t="s">
        <v>14</v>
      </c>
      <c r="D4760" s="4" t="s">
        <v>15</v>
      </c>
      <c r="E4760" s="5" t="str">
        <f>"9500167"</f>
        <v>9500167</v>
      </c>
      <c r="F4760" s="3" t="s">
        <v>15153</v>
      </c>
      <c r="G4760" s="5">
        <v>2821068357</v>
      </c>
      <c r="H4760" s="4" t="s">
        <v>15154</v>
      </c>
      <c r="I4760" s="4" t="s">
        <v>14601</v>
      </c>
      <c r="J4760" s="4" t="s">
        <v>15155</v>
      </c>
      <c r="K4760" s="4" t="s">
        <v>15156</v>
      </c>
      <c r="L4760" s="5">
        <v>73014</v>
      </c>
    </row>
    <row r="4761" spans="1:12" x14ac:dyDescent="0.25">
      <c r="A4761" s="3" t="s">
        <v>13772</v>
      </c>
      <c r="B4761" s="4" t="s">
        <v>14772</v>
      </c>
      <c r="C4761" s="4" t="s">
        <v>14</v>
      </c>
      <c r="D4761" s="4" t="s">
        <v>179</v>
      </c>
      <c r="E4761" s="5" t="str">
        <f>"9500207"</f>
        <v>9500207</v>
      </c>
      <c r="F4761" s="3" t="s">
        <v>15157</v>
      </c>
      <c r="G4761" s="5">
        <v>2822061217</v>
      </c>
      <c r="H4761" s="4" t="s">
        <v>15158</v>
      </c>
      <c r="I4761" s="4" t="s">
        <v>14868</v>
      </c>
      <c r="J4761" s="4" t="s">
        <v>15159</v>
      </c>
      <c r="K4761" s="4" t="s">
        <v>15159</v>
      </c>
      <c r="L4761" s="5">
        <v>73400</v>
      </c>
    </row>
    <row r="4762" spans="1:12" x14ac:dyDescent="0.25">
      <c r="A4762" s="3" t="s">
        <v>13772</v>
      </c>
      <c r="B4762" s="4" t="s">
        <v>14772</v>
      </c>
      <c r="C4762" s="4" t="s">
        <v>25</v>
      </c>
      <c r="D4762" s="4" t="s">
        <v>26</v>
      </c>
      <c r="E4762" s="5" t="str">
        <f>"9521297"</f>
        <v>9521297</v>
      </c>
      <c r="F4762" s="3" t="s">
        <v>15160</v>
      </c>
      <c r="G4762" s="5">
        <v>2821049570</v>
      </c>
      <c r="H4762" s="4" t="s">
        <v>15161</v>
      </c>
      <c r="I4762" s="4" t="s">
        <v>14784</v>
      </c>
      <c r="J4762" s="4" t="s">
        <v>15162</v>
      </c>
      <c r="K4762" s="4" t="s">
        <v>657</v>
      </c>
      <c r="L4762" s="5">
        <v>73100</v>
      </c>
    </row>
    <row r="4763" spans="1:12" x14ac:dyDescent="0.25">
      <c r="A4763" s="3" t="s">
        <v>13772</v>
      </c>
      <c r="B4763" s="4" t="s">
        <v>14772</v>
      </c>
      <c r="C4763" s="4" t="s">
        <v>25</v>
      </c>
      <c r="D4763" s="4" t="s">
        <v>26</v>
      </c>
      <c r="E4763" s="5" t="str">
        <f>"9521554"</f>
        <v>9521554</v>
      </c>
      <c r="F4763" s="3" t="s">
        <v>15163</v>
      </c>
      <c r="G4763" s="5">
        <v>2821009201</v>
      </c>
      <c r="H4763" s="4" t="s">
        <v>15164</v>
      </c>
      <c r="I4763" s="4" t="s">
        <v>14784</v>
      </c>
      <c r="J4763" s="4" t="s">
        <v>15001</v>
      </c>
      <c r="K4763" s="4" t="s">
        <v>15165</v>
      </c>
      <c r="L4763" s="5">
        <v>73100</v>
      </c>
    </row>
    <row r="4764" spans="1:12" x14ac:dyDescent="0.25">
      <c r="A4764" s="3" t="s">
        <v>13772</v>
      </c>
      <c r="B4764" s="4" t="s">
        <v>14772</v>
      </c>
      <c r="C4764" s="4" t="s">
        <v>25</v>
      </c>
      <c r="D4764" s="4" t="s">
        <v>26</v>
      </c>
      <c r="E4764" s="5" t="str">
        <f>"9521555"</f>
        <v>9521555</v>
      </c>
      <c r="F4764" s="3" t="s">
        <v>15166</v>
      </c>
      <c r="G4764" s="5">
        <v>2821180699</v>
      </c>
      <c r="H4764" s="4" t="s">
        <v>15167</v>
      </c>
      <c r="I4764" s="4" t="s">
        <v>14784</v>
      </c>
      <c r="J4764" s="4" t="s">
        <v>14788</v>
      </c>
      <c r="K4764" s="4" t="s">
        <v>15168</v>
      </c>
      <c r="L4764" s="5">
        <v>73100</v>
      </c>
    </row>
    <row r="4765" spans="1:12" x14ac:dyDescent="0.25">
      <c r="A4765" s="3" t="s">
        <v>13772</v>
      </c>
      <c r="B4765" s="4" t="s">
        <v>14772</v>
      </c>
      <c r="C4765" s="4" t="s">
        <v>25</v>
      </c>
      <c r="D4765" s="4" t="s">
        <v>26</v>
      </c>
      <c r="E4765" s="5" t="str">
        <f>"9521556"</f>
        <v>9521556</v>
      </c>
      <c r="F4765" s="3" t="s">
        <v>15169</v>
      </c>
      <c r="G4765" s="5">
        <v>2821028060</v>
      </c>
      <c r="H4765" s="4" t="s">
        <v>15170</v>
      </c>
      <c r="I4765" s="4" t="s">
        <v>14784</v>
      </c>
      <c r="J4765" s="4" t="s">
        <v>14784</v>
      </c>
      <c r="K4765" s="4" t="s">
        <v>15171</v>
      </c>
      <c r="L4765" s="5">
        <v>73100</v>
      </c>
    </row>
    <row r="4766" spans="1:12" x14ac:dyDescent="0.25">
      <c r="A4766" s="3" t="s">
        <v>15172</v>
      </c>
      <c r="B4766" s="4" t="s">
        <v>15173</v>
      </c>
      <c r="C4766" s="4" t="s">
        <v>14</v>
      </c>
      <c r="D4766" s="4" t="s">
        <v>15</v>
      </c>
      <c r="E4766" s="5" t="str">
        <f>"9100280"</f>
        <v>9100280</v>
      </c>
      <c r="F4766" s="3" t="s">
        <v>15174</v>
      </c>
      <c r="G4766" s="5">
        <v>2243051255</v>
      </c>
      <c r="H4766" s="4" t="s">
        <v>15175</v>
      </c>
      <c r="I4766" s="4" t="s">
        <v>15176</v>
      </c>
      <c r="J4766" s="4" t="s">
        <v>15177</v>
      </c>
      <c r="K4766" s="4" t="s">
        <v>15177</v>
      </c>
      <c r="L4766" s="5">
        <v>85200</v>
      </c>
    </row>
    <row r="4767" spans="1:12" x14ac:dyDescent="0.25">
      <c r="A4767" s="3" t="s">
        <v>15172</v>
      </c>
      <c r="B4767" s="4" t="s">
        <v>15173</v>
      </c>
      <c r="C4767" s="4" t="s">
        <v>25</v>
      </c>
      <c r="D4767" s="4" t="s">
        <v>26</v>
      </c>
      <c r="E4767" s="5" t="str">
        <f>"9520571"</f>
        <v>9520571</v>
      </c>
      <c r="F4767" s="3" t="s">
        <v>15178</v>
      </c>
      <c r="G4767" s="5">
        <v>2241053370</v>
      </c>
      <c r="H4767" s="4" t="s">
        <v>15179</v>
      </c>
      <c r="I4767" s="4" t="s">
        <v>15180</v>
      </c>
      <c r="J4767" s="4" t="s">
        <v>15181</v>
      </c>
      <c r="K4767" s="4" t="s">
        <v>15182</v>
      </c>
      <c r="L4767" s="5">
        <v>85103</v>
      </c>
    </row>
    <row r="4768" spans="1:12" x14ac:dyDescent="0.25">
      <c r="A4768" s="3" t="s">
        <v>15172</v>
      </c>
      <c r="B4768" s="4" t="s">
        <v>15173</v>
      </c>
      <c r="C4768" s="4" t="s">
        <v>25</v>
      </c>
      <c r="D4768" s="4" t="s">
        <v>26</v>
      </c>
      <c r="E4768" s="5" t="str">
        <f>"9100047"</f>
        <v>9100047</v>
      </c>
      <c r="F4768" s="3" t="s">
        <v>15183</v>
      </c>
      <c r="G4768" s="5">
        <v>2241027193</v>
      </c>
      <c r="H4768" s="4" t="s">
        <v>15184</v>
      </c>
      <c r="I4768" s="4" t="s">
        <v>15180</v>
      </c>
      <c r="J4768" s="4" t="s">
        <v>15185</v>
      </c>
      <c r="K4768" s="4" t="s">
        <v>15186</v>
      </c>
      <c r="L4768" s="5">
        <v>85100</v>
      </c>
    </row>
    <row r="4769" spans="1:12" x14ac:dyDescent="0.25">
      <c r="A4769" s="3" t="s">
        <v>15172</v>
      </c>
      <c r="B4769" s="4" t="s">
        <v>15173</v>
      </c>
      <c r="C4769" s="4" t="s">
        <v>14</v>
      </c>
      <c r="D4769" s="4" t="s">
        <v>15</v>
      </c>
      <c r="E4769" s="5" t="str">
        <f>"9100224"</f>
        <v>9100224</v>
      </c>
      <c r="F4769" s="3" t="s">
        <v>15187</v>
      </c>
      <c r="G4769" s="5">
        <v>2241033642</v>
      </c>
      <c r="H4769" s="4" t="s">
        <v>15188</v>
      </c>
      <c r="I4769" s="4" t="s">
        <v>15180</v>
      </c>
      <c r="J4769" s="4" t="s">
        <v>15185</v>
      </c>
      <c r="K4769" s="4" t="s">
        <v>15189</v>
      </c>
      <c r="L4769" s="5">
        <v>85100</v>
      </c>
    </row>
    <row r="4770" spans="1:12" x14ac:dyDescent="0.25">
      <c r="A4770" s="3" t="s">
        <v>15172</v>
      </c>
      <c r="B4770" s="4" t="s">
        <v>15173</v>
      </c>
      <c r="C4770" s="4" t="s">
        <v>14</v>
      </c>
      <c r="D4770" s="4" t="s">
        <v>15</v>
      </c>
      <c r="E4770" s="5" t="str">
        <f>"9100153"</f>
        <v>9100153</v>
      </c>
      <c r="F4770" s="3" t="s">
        <v>15190</v>
      </c>
      <c r="G4770" s="5">
        <v>2243029567</v>
      </c>
      <c r="H4770" s="4" t="s">
        <v>15191</v>
      </c>
      <c r="I4770" s="4" t="s">
        <v>15176</v>
      </c>
      <c r="J4770" s="4" t="s">
        <v>15177</v>
      </c>
      <c r="K4770" s="4" t="s">
        <v>15192</v>
      </c>
      <c r="L4770" s="5">
        <v>85200</v>
      </c>
    </row>
    <row r="4771" spans="1:12" x14ac:dyDescent="0.25">
      <c r="A4771" s="3" t="s">
        <v>15172</v>
      </c>
      <c r="B4771" s="4" t="s">
        <v>15173</v>
      </c>
      <c r="C4771" s="4" t="s">
        <v>14</v>
      </c>
      <c r="D4771" s="4" t="s">
        <v>179</v>
      </c>
      <c r="E4771" s="5" t="str">
        <f>"9100168"</f>
        <v>9100168</v>
      </c>
      <c r="F4771" s="3" t="s">
        <v>15193</v>
      </c>
      <c r="G4771" s="5">
        <v>2247031062</v>
      </c>
      <c r="H4771" s="4" t="s">
        <v>15194</v>
      </c>
      <c r="I4771" s="4" t="s">
        <v>15195</v>
      </c>
      <c r="J4771" s="4" t="s">
        <v>15196</v>
      </c>
      <c r="K4771" s="4" t="s">
        <v>6901</v>
      </c>
      <c r="L4771" s="5">
        <v>85500</v>
      </c>
    </row>
    <row r="4772" spans="1:12" x14ac:dyDescent="0.25">
      <c r="A4772" s="3" t="s">
        <v>15172</v>
      </c>
      <c r="B4772" s="4" t="s">
        <v>15173</v>
      </c>
      <c r="C4772" s="4" t="s">
        <v>14</v>
      </c>
      <c r="D4772" s="4" t="s">
        <v>15</v>
      </c>
      <c r="E4772" s="5" t="str">
        <f>"9100106"</f>
        <v>9100106</v>
      </c>
      <c r="F4772" s="3" t="s">
        <v>15197</v>
      </c>
      <c r="G4772" s="5">
        <v>2241023681</v>
      </c>
      <c r="H4772" s="4" t="s">
        <v>15198</v>
      </c>
      <c r="I4772" s="4" t="s">
        <v>15180</v>
      </c>
      <c r="J4772" s="4" t="s">
        <v>15185</v>
      </c>
      <c r="K4772" s="4" t="s">
        <v>15199</v>
      </c>
      <c r="L4772" s="5">
        <v>85100</v>
      </c>
    </row>
    <row r="4773" spans="1:12" x14ac:dyDescent="0.25">
      <c r="A4773" s="3" t="s">
        <v>15172</v>
      </c>
      <c r="B4773" s="4" t="s">
        <v>15173</v>
      </c>
      <c r="C4773" s="4" t="s">
        <v>14</v>
      </c>
      <c r="D4773" s="4" t="s">
        <v>15</v>
      </c>
      <c r="E4773" s="5" t="str">
        <f>"9100255"</f>
        <v>9100255</v>
      </c>
      <c r="F4773" s="3" t="s">
        <v>15200</v>
      </c>
      <c r="G4773" s="5">
        <v>2241064435</v>
      </c>
      <c r="H4773" s="4" t="s">
        <v>15201</v>
      </c>
      <c r="I4773" s="4" t="s">
        <v>15180</v>
      </c>
      <c r="J4773" s="4" t="s">
        <v>15185</v>
      </c>
      <c r="K4773" s="4" t="s">
        <v>15202</v>
      </c>
      <c r="L4773" s="5">
        <v>85100</v>
      </c>
    </row>
    <row r="4774" spans="1:12" x14ac:dyDescent="0.25">
      <c r="A4774" s="3" t="s">
        <v>15172</v>
      </c>
      <c r="B4774" s="4" t="s">
        <v>15173</v>
      </c>
      <c r="C4774" s="4" t="s">
        <v>14</v>
      </c>
      <c r="D4774" s="4" t="s">
        <v>15</v>
      </c>
      <c r="E4774" s="5" t="str">
        <f>"9100108"</f>
        <v>9100108</v>
      </c>
      <c r="F4774" s="3" t="s">
        <v>15203</v>
      </c>
      <c r="G4774" s="5">
        <v>2241027202</v>
      </c>
      <c r="H4774" s="4" t="s">
        <v>15204</v>
      </c>
      <c r="I4774" s="4" t="s">
        <v>15180</v>
      </c>
      <c r="J4774" s="4" t="s">
        <v>15185</v>
      </c>
      <c r="K4774" s="4" t="s">
        <v>15205</v>
      </c>
      <c r="L4774" s="5">
        <v>85133</v>
      </c>
    </row>
    <row r="4775" spans="1:12" x14ac:dyDescent="0.25">
      <c r="A4775" s="3" t="s">
        <v>15172</v>
      </c>
      <c r="B4775" s="4" t="s">
        <v>15173</v>
      </c>
      <c r="C4775" s="4" t="s">
        <v>25</v>
      </c>
      <c r="D4775" s="4" t="s">
        <v>26</v>
      </c>
      <c r="E4775" s="5" t="str">
        <f>"9100240"</f>
        <v>9100240</v>
      </c>
      <c r="F4775" s="3" t="s">
        <v>15206</v>
      </c>
      <c r="G4775" s="5">
        <v>2241064360</v>
      </c>
      <c r="H4775" s="4" t="s">
        <v>15207</v>
      </c>
      <c r="I4775" s="4" t="s">
        <v>15180</v>
      </c>
      <c r="J4775" s="4" t="s">
        <v>15185</v>
      </c>
      <c r="K4775" s="4" t="s">
        <v>15202</v>
      </c>
      <c r="L4775" s="5">
        <v>85100</v>
      </c>
    </row>
    <row r="4776" spans="1:12" x14ac:dyDescent="0.25">
      <c r="A4776" s="3" t="s">
        <v>15172</v>
      </c>
      <c r="B4776" s="4" t="s">
        <v>15173</v>
      </c>
      <c r="C4776" s="4" t="s">
        <v>14</v>
      </c>
      <c r="D4776" s="4" t="s">
        <v>15</v>
      </c>
      <c r="E4776" s="5" t="str">
        <f>"9100169"</f>
        <v>9100169</v>
      </c>
      <c r="F4776" s="3" t="s">
        <v>15208</v>
      </c>
      <c r="G4776" s="5">
        <v>2247031220</v>
      </c>
      <c r="H4776" s="4" t="s">
        <v>15209</v>
      </c>
      <c r="I4776" s="4" t="s">
        <v>15195</v>
      </c>
      <c r="J4776" s="4" t="s">
        <v>15210</v>
      </c>
      <c r="K4776" s="4" t="s">
        <v>10678</v>
      </c>
      <c r="L4776" s="5">
        <v>85500</v>
      </c>
    </row>
    <row r="4777" spans="1:12" x14ac:dyDescent="0.25">
      <c r="A4777" s="3" t="s">
        <v>15172</v>
      </c>
      <c r="B4777" s="4" t="s">
        <v>15173</v>
      </c>
      <c r="C4777" s="4" t="s">
        <v>14</v>
      </c>
      <c r="D4777" s="4" t="s">
        <v>15</v>
      </c>
      <c r="E4777" s="5" t="str">
        <f>"9100225"</f>
        <v>9100225</v>
      </c>
      <c r="F4777" s="3" t="s">
        <v>15211</v>
      </c>
      <c r="G4777" s="5">
        <v>2243022232</v>
      </c>
      <c r="H4777" s="4" t="s">
        <v>15212</v>
      </c>
      <c r="I4777" s="4" t="s">
        <v>15176</v>
      </c>
      <c r="J4777" s="4" t="s">
        <v>15213</v>
      </c>
      <c r="K4777" s="4" t="s">
        <v>15213</v>
      </c>
      <c r="L4777" s="5">
        <v>85200</v>
      </c>
    </row>
    <row r="4778" spans="1:12" x14ac:dyDescent="0.25">
      <c r="A4778" s="3" t="s">
        <v>15172</v>
      </c>
      <c r="B4778" s="4" t="s">
        <v>15173</v>
      </c>
      <c r="C4778" s="4" t="s">
        <v>14</v>
      </c>
      <c r="D4778" s="4" t="s">
        <v>15</v>
      </c>
      <c r="E4778" s="5" t="str">
        <f>"9100172"</f>
        <v>9100172</v>
      </c>
      <c r="F4778" s="3" t="s">
        <v>15214</v>
      </c>
      <c r="G4778" s="5">
        <v>2247022766</v>
      </c>
      <c r="H4778" s="4" t="s">
        <v>15215</v>
      </c>
      <c r="I4778" s="4" t="s">
        <v>15216</v>
      </c>
      <c r="J4778" s="4" t="s">
        <v>15217</v>
      </c>
      <c r="K4778" s="4" t="s">
        <v>15218</v>
      </c>
      <c r="L4778" s="5">
        <v>85400</v>
      </c>
    </row>
    <row r="4779" spans="1:12" x14ac:dyDescent="0.25">
      <c r="A4779" s="3" t="s">
        <v>15172</v>
      </c>
      <c r="B4779" s="4" t="s">
        <v>15173</v>
      </c>
      <c r="C4779" s="4" t="s">
        <v>25</v>
      </c>
      <c r="D4779" s="4" t="s">
        <v>26</v>
      </c>
      <c r="E4779" s="5" t="str">
        <f>"9100246"</f>
        <v>9100246</v>
      </c>
      <c r="F4779" s="3" t="s">
        <v>15219</v>
      </c>
      <c r="G4779" s="5">
        <v>2241063951</v>
      </c>
      <c r="H4779" s="4" t="s">
        <v>15220</v>
      </c>
      <c r="I4779" s="4" t="s">
        <v>15180</v>
      </c>
      <c r="J4779" s="4" t="s">
        <v>15185</v>
      </c>
      <c r="K4779" s="4" t="s">
        <v>15221</v>
      </c>
      <c r="L4779" s="5">
        <v>85100</v>
      </c>
    </row>
    <row r="4780" spans="1:12" x14ac:dyDescent="0.25">
      <c r="A4780" s="3" t="s">
        <v>15172</v>
      </c>
      <c r="B4780" s="4" t="s">
        <v>15173</v>
      </c>
      <c r="C4780" s="4" t="s">
        <v>25</v>
      </c>
      <c r="D4780" s="4" t="s">
        <v>26</v>
      </c>
      <c r="E4780" s="5" t="str">
        <f>"9100241"</f>
        <v>9100241</v>
      </c>
      <c r="F4780" s="3" t="s">
        <v>15222</v>
      </c>
      <c r="G4780" s="5">
        <v>2244044495</v>
      </c>
      <c r="H4780" s="4" t="s">
        <v>15223</v>
      </c>
      <c r="I4780" s="4" t="s">
        <v>15180</v>
      </c>
      <c r="J4780" s="4" t="s">
        <v>15224</v>
      </c>
      <c r="K4780" s="4" t="s">
        <v>15224</v>
      </c>
      <c r="L4780" s="5">
        <v>85109</v>
      </c>
    </row>
    <row r="4781" spans="1:12" x14ac:dyDescent="0.25">
      <c r="A4781" s="3" t="s">
        <v>15172</v>
      </c>
      <c r="B4781" s="4" t="s">
        <v>15173</v>
      </c>
      <c r="C4781" s="4" t="s">
        <v>14</v>
      </c>
      <c r="D4781" s="4" t="s">
        <v>179</v>
      </c>
      <c r="E4781" s="5" t="str">
        <f>"9100061"</f>
        <v>9100061</v>
      </c>
      <c r="F4781" s="3" t="s">
        <v>15225</v>
      </c>
      <c r="G4781" s="5">
        <v>2246098340</v>
      </c>
      <c r="H4781" s="4" t="s">
        <v>15226</v>
      </c>
      <c r="I4781" s="4" t="s">
        <v>15180</v>
      </c>
      <c r="J4781" s="4" t="s">
        <v>15185</v>
      </c>
      <c r="K4781" s="4" t="s">
        <v>15227</v>
      </c>
      <c r="L4781" s="5">
        <v>85106</v>
      </c>
    </row>
    <row r="4782" spans="1:12" x14ac:dyDescent="0.25">
      <c r="A4782" s="3" t="s">
        <v>15172</v>
      </c>
      <c r="B4782" s="4" t="s">
        <v>15173</v>
      </c>
      <c r="C4782" s="4" t="s">
        <v>25</v>
      </c>
      <c r="D4782" s="4" t="s">
        <v>26</v>
      </c>
      <c r="E4782" s="5" t="str">
        <f>"9100027"</f>
        <v>9100027</v>
      </c>
      <c r="F4782" s="3" t="s">
        <v>15228</v>
      </c>
      <c r="G4782" s="5">
        <v>2242041440</v>
      </c>
      <c r="H4782" s="4" t="s">
        <v>15229</v>
      </c>
      <c r="I4782" s="4" t="s">
        <v>15230</v>
      </c>
      <c r="J4782" s="4" t="s">
        <v>15231</v>
      </c>
      <c r="K4782" s="4" t="s">
        <v>15232</v>
      </c>
      <c r="L4782" s="5">
        <v>85300</v>
      </c>
    </row>
    <row r="4783" spans="1:12" x14ac:dyDescent="0.25">
      <c r="A4783" s="3" t="s">
        <v>15172</v>
      </c>
      <c r="B4783" s="4" t="s">
        <v>15173</v>
      </c>
      <c r="C4783" s="4" t="s">
        <v>25</v>
      </c>
      <c r="D4783" s="4" t="s">
        <v>26</v>
      </c>
      <c r="E4783" s="5" t="str">
        <f>"9100003"</f>
        <v>9100003</v>
      </c>
      <c r="F4783" s="3" t="s">
        <v>15233</v>
      </c>
      <c r="G4783" s="5">
        <v>2242022152</v>
      </c>
      <c r="H4783" s="4" t="s">
        <v>15234</v>
      </c>
      <c r="I4783" s="4" t="s">
        <v>15230</v>
      </c>
      <c r="J4783" s="4" t="s">
        <v>15230</v>
      </c>
      <c r="K4783" s="4" t="s">
        <v>15235</v>
      </c>
      <c r="L4783" s="5">
        <v>85300</v>
      </c>
    </row>
    <row r="4784" spans="1:12" x14ac:dyDescent="0.25">
      <c r="A4784" s="3" t="s">
        <v>15172</v>
      </c>
      <c r="B4784" s="4" t="s">
        <v>15173</v>
      </c>
      <c r="C4784" s="4" t="s">
        <v>14</v>
      </c>
      <c r="D4784" s="4" t="s">
        <v>15</v>
      </c>
      <c r="E4784" s="5" t="str">
        <f>"9100107"</f>
        <v>9100107</v>
      </c>
      <c r="F4784" s="3" t="s">
        <v>15236</v>
      </c>
      <c r="G4784" s="5">
        <v>2241027188</v>
      </c>
      <c r="H4784" s="4" t="s">
        <v>15237</v>
      </c>
      <c r="I4784" s="4" t="s">
        <v>15180</v>
      </c>
      <c r="J4784" s="4" t="s">
        <v>15185</v>
      </c>
      <c r="K4784" s="4" t="s">
        <v>15238</v>
      </c>
      <c r="L4784" s="5">
        <v>85100</v>
      </c>
    </row>
    <row r="4785" spans="1:12" x14ac:dyDescent="0.25">
      <c r="A4785" s="3" t="s">
        <v>15172</v>
      </c>
      <c r="B4785" s="4" t="s">
        <v>15173</v>
      </c>
      <c r="C4785" s="4" t="s">
        <v>14</v>
      </c>
      <c r="D4785" s="4" t="s">
        <v>15</v>
      </c>
      <c r="E4785" s="5" t="str">
        <f>"9100035"</f>
        <v>9100035</v>
      </c>
      <c r="F4785" s="3" t="s">
        <v>15239</v>
      </c>
      <c r="G4785" s="5">
        <v>2246071369</v>
      </c>
      <c r="H4785" s="4" t="s">
        <v>15240</v>
      </c>
      <c r="I4785" s="4" t="s">
        <v>15241</v>
      </c>
      <c r="J4785" s="4" t="s">
        <v>15242</v>
      </c>
      <c r="K4785" s="4" t="s">
        <v>15243</v>
      </c>
      <c r="L4785" s="5">
        <v>85600</v>
      </c>
    </row>
    <row r="4786" spans="1:12" x14ac:dyDescent="0.25">
      <c r="A4786" s="3" t="s">
        <v>15172</v>
      </c>
      <c r="B4786" s="4" t="s">
        <v>15173</v>
      </c>
      <c r="C4786" s="4" t="s">
        <v>25</v>
      </c>
      <c r="D4786" s="4" t="s">
        <v>26</v>
      </c>
      <c r="E4786" s="5" t="str">
        <f>"9100229"</f>
        <v>9100229</v>
      </c>
      <c r="F4786" s="3" t="s">
        <v>15244</v>
      </c>
      <c r="G4786" s="5">
        <v>2241035702</v>
      </c>
      <c r="H4786" s="4" t="s">
        <v>15245</v>
      </c>
      <c r="I4786" s="4" t="s">
        <v>15180</v>
      </c>
      <c r="J4786" s="4" t="s">
        <v>15185</v>
      </c>
      <c r="K4786" s="4" t="s">
        <v>15238</v>
      </c>
      <c r="L4786" s="5">
        <v>85100</v>
      </c>
    </row>
    <row r="4787" spans="1:12" x14ac:dyDescent="0.25">
      <c r="A4787" s="3" t="s">
        <v>15172</v>
      </c>
      <c r="B4787" s="4" t="s">
        <v>15173</v>
      </c>
      <c r="C4787" s="4" t="s">
        <v>25</v>
      </c>
      <c r="D4787" s="4" t="s">
        <v>26</v>
      </c>
      <c r="E4787" s="5" t="str">
        <f>"9100005"</f>
        <v>9100005</v>
      </c>
      <c r="F4787" s="3" t="s">
        <v>15246</v>
      </c>
      <c r="G4787" s="5">
        <v>2242049418</v>
      </c>
      <c r="H4787" s="4" t="s">
        <v>15247</v>
      </c>
      <c r="I4787" s="4" t="s">
        <v>15230</v>
      </c>
      <c r="J4787" s="4" t="s">
        <v>15230</v>
      </c>
      <c r="K4787" s="4" t="s">
        <v>15248</v>
      </c>
      <c r="L4787" s="5">
        <v>85300</v>
      </c>
    </row>
    <row r="4788" spans="1:12" x14ac:dyDescent="0.25">
      <c r="A4788" s="3" t="s">
        <v>15172</v>
      </c>
      <c r="B4788" s="4" t="s">
        <v>15173</v>
      </c>
      <c r="C4788" s="4" t="s">
        <v>14</v>
      </c>
      <c r="D4788" s="4" t="s">
        <v>15</v>
      </c>
      <c r="E4788" s="5" t="str">
        <f>"9520740"</f>
        <v>9520740</v>
      </c>
      <c r="F4788" s="3" t="s">
        <v>15249</v>
      </c>
      <c r="G4788" s="5">
        <v>2242027672</v>
      </c>
      <c r="H4788" s="4" t="s">
        <v>15250</v>
      </c>
      <c r="I4788" s="4" t="s">
        <v>15230</v>
      </c>
      <c r="J4788" s="4" t="s">
        <v>15231</v>
      </c>
      <c r="K4788" s="4" t="s">
        <v>15251</v>
      </c>
      <c r="L4788" s="5">
        <v>85300</v>
      </c>
    </row>
    <row r="4789" spans="1:12" x14ac:dyDescent="0.25">
      <c r="A4789" s="3" t="s">
        <v>15172</v>
      </c>
      <c r="B4789" s="4" t="s">
        <v>15173</v>
      </c>
      <c r="C4789" s="4" t="s">
        <v>14</v>
      </c>
      <c r="D4789" s="4" t="s">
        <v>15</v>
      </c>
      <c r="E4789" s="5" t="str">
        <f>"9100011"</f>
        <v>9100011</v>
      </c>
      <c r="F4789" s="3" t="s">
        <v>15252</v>
      </c>
      <c r="G4789" s="5">
        <v>2242049196</v>
      </c>
      <c r="H4789" s="4" t="s">
        <v>15253</v>
      </c>
      <c r="I4789" s="4" t="s">
        <v>15230</v>
      </c>
      <c r="J4789" s="4" t="s">
        <v>15231</v>
      </c>
      <c r="K4789" s="4" t="s">
        <v>15254</v>
      </c>
      <c r="L4789" s="5">
        <v>85300</v>
      </c>
    </row>
    <row r="4790" spans="1:12" x14ac:dyDescent="0.25">
      <c r="A4790" s="3" t="s">
        <v>15172</v>
      </c>
      <c r="B4790" s="4" t="s">
        <v>15173</v>
      </c>
      <c r="C4790" s="4" t="s">
        <v>25</v>
      </c>
      <c r="D4790" s="4" t="s">
        <v>26</v>
      </c>
      <c r="E4790" s="5" t="str">
        <f>"9100006"</f>
        <v>9100006</v>
      </c>
      <c r="F4790" s="3" t="s">
        <v>15255</v>
      </c>
      <c r="G4790" s="5">
        <v>2242028860</v>
      </c>
      <c r="H4790" s="4" t="s">
        <v>15256</v>
      </c>
      <c r="I4790" s="4" t="s">
        <v>15230</v>
      </c>
      <c r="J4790" s="4" t="s">
        <v>15231</v>
      </c>
      <c r="K4790" s="4" t="s">
        <v>15257</v>
      </c>
      <c r="L4790" s="5">
        <v>85300</v>
      </c>
    </row>
    <row r="4791" spans="1:12" x14ac:dyDescent="0.25">
      <c r="A4791" s="3" t="s">
        <v>15172</v>
      </c>
      <c r="B4791" s="4" t="s">
        <v>15173</v>
      </c>
      <c r="C4791" s="4" t="s">
        <v>25</v>
      </c>
      <c r="D4791" s="4" t="s">
        <v>26</v>
      </c>
      <c r="E4791" s="5" t="str">
        <f>"9100179"</f>
        <v>9100179</v>
      </c>
      <c r="F4791" s="3" t="s">
        <v>15258</v>
      </c>
      <c r="G4791" s="5">
        <v>2241021301</v>
      </c>
      <c r="H4791" s="4" t="s">
        <v>15259</v>
      </c>
      <c r="I4791" s="4" t="s">
        <v>15180</v>
      </c>
      <c r="J4791" s="4" t="s">
        <v>15185</v>
      </c>
      <c r="K4791" s="4" t="s">
        <v>15260</v>
      </c>
      <c r="L4791" s="5">
        <v>85100</v>
      </c>
    </row>
    <row r="4792" spans="1:12" x14ac:dyDescent="0.25">
      <c r="A4792" s="3" t="s">
        <v>15172</v>
      </c>
      <c r="B4792" s="4" t="s">
        <v>15173</v>
      </c>
      <c r="C4792" s="4" t="s">
        <v>25</v>
      </c>
      <c r="D4792" s="4" t="s">
        <v>26</v>
      </c>
      <c r="E4792" s="5" t="str">
        <f>"9100210"</f>
        <v>9100210</v>
      </c>
      <c r="F4792" s="3" t="s">
        <v>15261</v>
      </c>
      <c r="G4792" s="5">
        <v>2242026983</v>
      </c>
      <c r="H4792" s="4" t="s">
        <v>15262</v>
      </c>
      <c r="I4792" s="4" t="s">
        <v>15230</v>
      </c>
      <c r="J4792" s="4" t="s">
        <v>15230</v>
      </c>
      <c r="K4792" s="4" t="s">
        <v>15263</v>
      </c>
      <c r="L4792" s="5">
        <v>85300</v>
      </c>
    </row>
    <row r="4793" spans="1:12" x14ac:dyDescent="0.25">
      <c r="A4793" s="3" t="s">
        <v>15172</v>
      </c>
      <c r="B4793" s="4" t="s">
        <v>15173</v>
      </c>
      <c r="C4793" s="4" t="s">
        <v>25</v>
      </c>
      <c r="D4793" s="4" t="s">
        <v>26</v>
      </c>
      <c r="E4793" s="5" t="str">
        <f>"9100256"</f>
        <v>9100256</v>
      </c>
      <c r="F4793" s="3" t="s">
        <v>15264</v>
      </c>
      <c r="G4793" s="5">
        <v>2242021621</v>
      </c>
      <c r="H4793" s="4" t="s">
        <v>15265</v>
      </c>
      <c r="I4793" s="4" t="s">
        <v>15230</v>
      </c>
      <c r="J4793" s="4" t="s">
        <v>15230</v>
      </c>
      <c r="K4793" s="4" t="s">
        <v>15266</v>
      </c>
      <c r="L4793" s="5">
        <v>85300</v>
      </c>
    </row>
    <row r="4794" spans="1:12" x14ac:dyDescent="0.25">
      <c r="A4794" s="3" t="s">
        <v>15172</v>
      </c>
      <c r="B4794" s="4" t="s">
        <v>15173</v>
      </c>
      <c r="C4794" s="4" t="s">
        <v>25</v>
      </c>
      <c r="D4794" s="4" t="s">
        <v>26</v>
      </c>
      <c r="E4794" s="5" t="str">
        <f>"9100249"</f>
        <v>9100249</v>
      </c>
      <c r="F4794" s="3" t="s">
        <v>15267</v>
      </c>
      <c r="G4794" s="5">
        <v>2241061763</v>
      </c>
      <c r="H4794" s="4" t="s">
        <v>15268</v>
      </c>
      <c r="I4794" s="4" t="s">
        <v>15180</v>
      </c>
      <c r="J4794" s="4" t="s">
        <v>15185</v>
      </c>
      <c r="K4794" s="4" t="s">
        <v>15269</v>
      </c>
      <c r="L4794" s="5">
        <v>85100</v>
      </c>
    </row>
    <row r="4795" spans="1:12" x14ac:dyDescent="0.25">
      <c r="A4795" s="3" t="s">
        <v>15172</v>
      </c>
      <c r="B4795" s="4" t="s">
        <v>15173</v>
      </c>
      <c r="C4795" s="4" t="s">
        <v>25</v>
      </c>
      <c r="D4795" s="4" t="s">
        <v>26</v>
      </c>
      <c r="E4795" s="5" t="str">
        <f>"9100010"</f>
        <v>9100010</v>
      </c>
      <c r="F4795" s="3" t="s">
        <v>15270</v>
      </c>
      <c r="G4795" s="5">
        <v>2242021076</v>
      </c>
      <c r="H4795" s="4" t="s">
        <v>15271</v>
      </c>
      <c r="I4795" s="4" t="s">
        <v>15230</v>
      </c>
      <c r="J4795" s="4" t="s">
        <v>15231</v>
      </c>
      <c r="K4795" s="4" t="s">
        <v>15272</v>
      </c>
      <c r="L4795" s="5">
        <v>85300</v>
      </c>
    </row>
    <row r="4796" spans="1:12" x14ac:dyDescent="0.25">
      <c r="A4796" s="3" t="s">
        <v>15172</v>
      </c>
      <c r="B4796" s="4" t="s">
        <v>15173</v>
      </c>
      <c r="C4796" s="4" t="s">
        <v>25</v>
      </c>
      <c r="D4796" s="4" t="s">
        <v>26</v>
      </c>
      <c r="E4796" s="5" t="str">
        <f>"9100201"</f>
        <v>9100201</v>
      </c>
      <c r="F4796" s="3" t="s">
        <v>15273</v>
      </c>
      <c r="G4796" s="5">
        <v>2242069491</v>
      </c>
      <c r="H4796" s="4" t="s">
        <v>15274</v>
      </c>
      <c r="I4796" s="4" t="s">
        <v>15230</v>
      </c>
      <c r="J4796" s="4" t="s">
        <v>15275</v>
      </c>
      <c r="K4796" s="4" t="s">
        <v>15276</v>
      </c>
      <c r="L4796" s="5">
        <v>85300</v>
      </c>
    </row>
    <row r="4797" spans="1:12" x14ac:dyDescent="0.25">
      <c r="A4797" s="3" t="s">
        <v>15172</v>
      </c>
      <c r="B4797" s="4" t="s">
        <v>15173</v>
      </c>
      <c r="C4797" s="4" t="s">
        <v>25</v>
      </c>
      <c r="D4797" s="4" t="s">
        <v>26</v>
      </c>
      <c r="E4797" s="5" t="str">
        <f>"9100159"</f>
        <v>9100159</v>
      </c>
      <c r="F4797" s="3" t="s">
        <v>15277</v>
      </c>
      <c r="G4797" s="5">
        <v>2243028927</v>
      </c>
      <c r="H4797" s="4" t="s">
        <v>15278</v>
      </c>
      <c r="I4797" s="4" t="s">
        <v>15176</v>
      </c>
      <c r="J4797" s="4" t="s">
        <v>15177</v>
      </c>
      <c r="K4797" s="4" t="s">
        <v>15279</v>
      </c>
      <c r="L4797" s="5">
        <v>85200</v>
      </c>
    </row>
    <row r="4798" spans="1:12" x14ac:dyDescent="0.25">
      <c r="A4798" s="3" t="s">
        <v>15172</v>
      </c>
      <c r="B4798" s="4" t="s">
        <v>15173</v>
      </c>
      <c r="C4798" s="4" t="s">
        <v>25</v>
      </c>
      <c r="D4798" s="4" t="s">
        <v>26</v>
      </c>
      <c r="E4798" s="5" t="str">
        <f>"9520677"</f>
        <v>9520677</v>
      </c>
      <c r="F4798" s="3" t="s">
        <v>15280</v>
      </c>
      <c r="G4798" s="5">
        <v>2242069493</v>
      </c>
      <c r="H4798" s="4" t="s">
        <v>15281</v>
      </c>
      <c r="I4798" s="4" t="s">
        <v>15230</v>
      </c>
      <c r="J4798" s="4" t="s">
        <v>15282</v>
      </c>
      <c r="K4798" s="4" t="s">
        <v>15283</v>
      </c>
      <c r="L4798" s="5">
        <v>85300</v>
      </c>
    </row>
    <row r="4799" spans="1:12" x14ac:dyDescent="0.25">
      <c r="A4799" s="3" t="s">
        <v>15172</v>
      </c>
      <c r="B4799" s="4" t="s">
        <v>15173</v>
      </c>
      <c r="C4799" s="4" t="s">
        <v>25</v>
      </c>
      <c r="D4799" s="4" t="s">
        <v>26</v>
      </c>
      <c r="E4799" s="5" t="str">
        <f>"9100013"</f>
        <v>9100013</v>
      </c>
      <c r="F4799" s="3" t="s">
        <v>15284</v>
      </c>
      <c r="G4799" s="5">
        <v>2242051517</v>
      </c>
      <c r="H4799" s="4" t="s">
        <v>15285</v>
      </c>
      <c r="I4799" s="4" t="s">
        <v>15230</v>
      </c>
      <c r="J4799" s="4" t="s">
        <v>15286</v>
      </c>
      <c r="K4799" s="4" t="s">
        <v>15286</v>
      </c>
      <c r="L4799" s="5">
        <v>85302</v>
      </c>
    </row>
    <row r="4800" spans="1:12" x14ac:dyDescent="0.25">
      <c r="A4800" s="3" t="s">
        <v>15172</v>
      </c>
      <c r="B4800" s="4" t="s">
        <v>15173</v>
      </c>
      <c r="C4800" s="4" t="s">
        <v>25</v>
      </c>
      <c r="D4800" s="4" t="s">
        <v>26</v>
      </c>
      <c r="E4800" s="5" t="str">
        <f>"9100221"</f>
        <v>9100221</v>
      </c>
      <c r="F4800" s="3" t="s">
        <v>15287</v>
      </c>
      <c r="G4800" s="5">
        <v>2244022755</v>
      </c>
      <c r="H4800" s="4" t="s">
        <v>15288</v>
      </c>
      <c r="I4800" s="4" t="s">
        <v>15180</v>
      </c>
      <c r="J4800" s="4" t="s">
        <v>15289</v>
      </c>
      <c r="K4800" s="4" t="s">
        <v>15290</v>
      </c>
      <c r="L4800" s="5">
        <v>85102</v>
      </c>
    </row>
    <row r="4801" spans="1:12" x14ac:dyDescent="0.25">
      <c r="A4801" s="3" t="s">
        <v>15172</v>
      </c>
      <c r="B4801" s="4" t="s">
        <v>15173</v>
      </c>
      <c r="C4801" s="4" t="s">
        <v>14</v>
      </c>
      <c r="D4801" s="4" t="s">
        <v>15</v>
      </c>
      <c r="E4801" s="5" t="str">
        <f>"9100009"</f>
        <v>9100009</v>
      </c>
      <c r="F4801" s="3" t="s">
        <v>15291</v>
      </c>
      <c r="G4801" s="5">
        <v>2242028234</v>
      </c>
      <c r="H4801" s="4" t="s">
        <v>15292</v>
      </c>
      <c r="I4801" s="4" t="s">
        <v>15230</v>
      </c>
      <c r="J4801" s="4" t="s">
        <v>15231</v>
      </c>
      <c r="K4801" s="4" t="s">
        <v>15293</v>
      </c>
      <c r="L4801" s="5">
        <v>85300</v>
      </c>
    </row>
    <row r="4802" spans="1:12" x14ac:dyDescent="0.25">
      <c r="A4802" s="3" t="s">
        <v>15172</v>
      </c>
      <c r="B4802" s="4" t="s">
        <v>15173</v>
      </c>
      <c r="C4802" s="4" t="s">
        <v>25</v>
      </c>
      <c r="D4802" s="4" t="s">
        <v>26</v>
      </c>
      <c r="E4802" s="5" t="str">
        <f>"9100182"</f>
        <v>9100182</v>
      </c>
      <c r="F4802" s="3" t="s">
        <v>15294</v>
      </c>
      <c r="G4802" s="5">
        <v>2247033159</v>
      </c>
      <c r="H4802" s="4" t="s">
        <v>15295</v>
      </c>
      <c r="I4802" s="4" t="s">
        <v>15195</v>
      </c>
      <c r="J4802" s="4" t="s">
        <v>15296</v>
      </c>
      <c r="K4802" s="4" t="s">
        <v>15210</v>
      </c>
      <c r="L4802" s="5">
        <v>85500</v>
      </c>
    </row>
    <row r="4803" spans="1:12" x14ac:dyDescent="0.25">
      <c r="A4803" s="3" t="s">
        <v>15172</v>
      </c>
      <c r="B4803" s="4" t="s">
        <v>15173</v>
      </c>
      <c r="C4803" s="4" t="s">
        <v>25</v>
      </c>
      <c r="D4803" s="4" t="s">
        <v>26</v>
      </c>
      <c r="E4803" s="5" t="str">
        <f>"9100209"</f>
        <v>9100209</v>
      </c>
      <c r="F4803" s="3" t="s">
        <v>15297</v>
      </c>
      <c r="G4803" s="5">
        <v>2243061592</v>
      </c>
      <c r="H4803" s="4" t="s">
        <v>15298</v>
      </c>
      <c r="I4803" s="4" t="s">
        <v>15299</v>
      </c>
      <c r="J4803" s="4" t="s">
        <v>15299</v>
      </c>
      <c r="K4803" s="4" t="s">
        <v>15300</v>
      </c>
      <c r="L4803" s="5">
        <v>85900</v>
      </c>
    </row>
    <row r="4804" spans="1:12" x14ac:dyDescent="0.25">
      <c r="A4804" s="3" t="s">
        <v>15172</v>
      </c>
      <c r="B4804" s="4" t="s">
        <v>15173</v>
      </c>
      <c r="C4804" s="4" t="s">
        <v>25</v>
      </c>
      <c r="D4804" s="4" t="s">
        <v>26</v>
      </c>
      <c r="E4804" s="5" t="str">
        <f>"9100236"</f>
        <v>9100236</v>
      </c>
      <c r="F4804" s="3" t="s">
        <v>15301</v>
      </c>
      <c r="G4804" s="5">
        <v>2243047970</v>
      </c>
      <c r="H4804" s="4" t="s">
        <v>15302</v>
      </c>
      <c r="I4804" s="4" t="s">
        <v>15176</v>
      </c>
      <c r="J4804" s="4" t="s">
        <v>15303</v>
      </c>
      <c r="K4804" s="4" t="s">
        <v>15304</v>
      </c>
      <c r="L4804" s="5">
        <v>85200</v>
      </c>
    </row>
    <row r="4805" spans="1:12" x14ac:dyDescent="0.25">
      <c r="A4805" s="3" t="s">
        <v>15172</v>
      </c>
      <c r="B4805" s="4" t="s">
        <v>15173</v>
      </c>
      <c r="C4805" s="4" t="s">
        <v>25</v>
      </c>
      <c r="D4805" s="4" t="s">
        <v>26</v>
      </c>
      <c r="E4805" s="5" t="str">
        <f>"9100183"</f>
        <v>9100183</v>
      </c>
      <c r="F4805" s="3" t="s">
        <v>15305</v>
      </c>
      <c r="G4805" s="5">
        <v>2247028065</v>
      </c>
      <c r="H4805" s="4" t="s">
        <v>15306</v>
      </c>
      <c r="I4805" s="4" t="s">
        <v>15216</v>
      </c>
      <c r="J4805" s="4"/>
      <c r="K4805" s="4" t="s">
        <v>15307</v>
      </c>
      <c r="L4805" s="5">
        <v>85400</v>
      </c>
    </row>
    <row r="4806" spans="1:12" x14ac:dyDescent="0.25">
      <c r="A4806" s="3" t="s">
        <v>15172</v>
      </c>
      <c r="B4806" s="4" t="s">
        <v>15173</v>
      </c>
      <c r="C4806" s="4" t="s">
        <v>25</v>
      </c>
      <c r="D4806" s="4" t="s">
        <v>26</v>
      </c>
      <c r="E4806" s="5" t="str">
        <f>"9100166"</f>
        <v>9100166</v>
      </c>
      <c r="F4806" s="3" t="s">
        <v>15308</v>
      </c>
      <c r="G4806" s="5">
        <v>2247024311</v>
      </c>
      <c r="H4806" s="4" t="s">
        <v>15309</v>
      </c>
      <c r="I4806" s="4" t="s">
        <v>15216</v>
      </c>
      <c r="J4806" s="4" t="s">
        <v>15310</v>
      </c>
      <c r="K4806" s="4" t="s">
        <v>15311</v>
      </c>
      <c r="L4806" s="5">
        <v>85400</v>
      </c>
    </row>
    <row r="4807" spans="1:12" x14ac:dyDescent="0.25">
      <c r="A4807" s="3" t="s">
        <v>15172</v>
      </c>
      <c r="B4807" s="4" t="s">
        <v>15173</v>
      </c>
      <c r="C4807" s="4" t="s">
        <v>25</v>
      </c>
      <c r="D4807" s="4" t="s">
        <v>26</v>
      </c>
      <c r="E4807" s="5" t="str">
        <f>"9100165"</f>
        <v>9100165</v>
      </c>
      <c r="F4807" s="3" t="s">
        <v>15312</v>
      </c>
      <c r="G4807" s="5">
        <v>2247022201</v>
      </c>
      <c r="H4807" s="4" t="s">
        <v>15313</v>
      </c>
      <c r="I4807" s="4" t="s">
        <v>15216</v>
      </c>
      <c r="J4807" s="4" t="s">
        <v>15314</v>
      </c>
      <c r="K4807" s="4" t="s">
        <v>2485</v>
      </c>
      <c r="L4807" s="5">
        <v>85400</v>
      </c>
    </row>
    <row r="4808" spans="1:12" x14ac:dyDescent="0.25">
      <c r="A4808" s="3" t="s">
        <v>15172</v>
      </c>
      <c r="B4808" s="4" t="s">
        <v>15173</v>
      </c>
      <c r="C4808" s="4" t="s">
        <v>25</v>
      </c>
      <c r="D4808" s="4" t="s">
        <v>26</v>
      </c>
      <c r="E4808" s="5" t="str">
        <f>"9100149"</f>
        <v>9100149</v>
      </c>
      <c r="F4808" s="3" t="s">
        <v>15315</v>
      </c>
      <c r="G4808" s="5">
        <v>2243028090</v>
      </c>
      <c r="H4808" s="4" t="s">
        <v>15316</v>
      </c>
      <c r="I4808" s="4" t="s">
        <v>15176</v>
      </c>
      <c r="J4808" s="4" t="s">
        <v>15317</v>
      </c>
      <c r="K4808" s="4" t="s">
        <v>15318</v>
      </c>
      <c r="L4808" s="5">
        <v>85200</v>
      </c>
    </row>
    <row r="4809" spans="1:12" x14ac:dyDescent="0.25">
      <c r="A4809" s="3" t="s">
        <v>15172</v>
      </c>
      <c r="B4809" s="4" t="s">
        <v>15173</v>
      </c>
      <c r="C4809" s="4" t="s">
        <v>25</v>
      </c>
      <c r="D4809" s="4" t="s">
        <v>26</v>
      </c>
      <c r="E4809" s="5" t="str">
        <f>"9100151"</f>
        <v>9100151</v>
      </c>
      <c r="F4809" s="3" t="s">
        <v>15319</v>
      </c>
      <c r="G4809" s="5">
        <v>2243022470</v>
      </c>
      <c r="H4809" s="4" t="s">
        <v>15320</v>
      </c>
      <c r="I4809" s="4" t="s">
        <v>15176</v>
      </c>
      <c r="J4809" s="4" t="s">
        <v>15177</v>
      </c>
      <c r="K4809" s="4" t="s">
        <v>13560</v>
      </c>
      <c r="L4809" s="5">
        <v>85200</v>
      </c>
    </row>
    <row r="4810" spans="1:12" x14ac:dyDescent="0.25">
      <c r="A4810" s="3" t="s">
        <v>15172</v>
      </c>
      <c r="B4810" s="4" t="s">
        <v>15173</v>
      </c>
      <c r="C4810" s="4" t="s">
        <v>25</v>
      </c>
      <c r="D4810" s="4" t="s">
        <v>26</v>
      </c>
      <c r="E4810" s="5" t="str">
        <f>"9100021"</f>
        <v>9100021</v>
      </c>
      <c r="F4810" s="3" t="s">
        <v>15321</v>
      </c>
      <c r="G4810" s="5">
        <v>2242092000</v>
      </c>
      <c r="H4810" s="4" t="s">
        <v>15322</v>
      </c>
      <c r="I4810" s="4" t="s">
        <v>15230</v>
      </c>
      <c r="J4810" s="4" t="s">
        <v>15323</v>
      </c>
      <c r="K4810" s="4" t="s">
        <v>15323</v>
      </c>
      <c r="L4810" s="5">
        <v>85302</v>
      </c>
    </row>
    <row r="4811" spans="1:12" x14ac:dyDescent="0.25">
      <c r="A4811" s="3" t="s">
        <v>15172</v>
      </c>
      <c r="B4811" s="4" t="s">
        <v>15173</v>
      </c>
      <c r="C4811" s="4" t="s">
        <v>25</v>
      </c>
      <c r="D4811" s="4" t="s">
        <v>26</v>
      </c>
      <c r="E4811" s="5" t="str">
        <f>"9100257"</f>
        <v>9100257</v>
      </c>
      <c r="F4811" s="3" t="s">
        <v>15324</v>
      </c>
      <c r="G4811" s="5">
        <v>2241043292</v>
      </c>
      <c r="H4811" s="4" t="s">
        <v>15325</v>
      </c>
      <c r="I4811" s="4" t="s">
        <v>15180</v>
      </c>
      <c r="J4811" s="4" t="s">
        <v>15185</v>
      </c>
      <c r="K4811" s="4" t="s">
        <v>15199</v>
      </c>
      <c r="L4811" s="5">
        <v>85100</v>
      </c>
    </row>
    <row r="4812" spans="1:12" x14ac:dyDescent="0.25">
      <c r="A4812" s="3" t="s">
        <v>15172</v>
      </c>
      <c r="B4812" s="4" t="s">
        <v>15173</v>
      </c>
      <c r="C4812" s="4" t="s">
        <v>14</v>
      </c>
      <c r="D4812" s="4" t="s">
        <v>15</v>
      </c>
      <c r="E4812" s="5" t="str">
        <f>"9100004"</f>
        <v>9100004</v>
      </c>
      <c r="F4812" s="3" t="s">
        <v>15326</v>
      </c>
      <c r="G4812" s="5">
        <v>2242022030</v>
      </c>
      <c r="H4812" s="4" t="s">
        <v>15327</v>
      </c>
      <c r="I4812" s="4" t="s">
        <v>15230</v>
      </c>
      <c r="J4812" s="4" t="s">
        <v>15231</v>
      </c>
      <c r="K4812" s="4" t="s">
        <v>15328</v>
      </c>
      <c r="L4812" s="5">
        <v>85300</v>
      </c>
    </row>
    <row r="4813" spans="1:12" x14ac:dyDescent="0.25">
      <c r="A4813" s="3" t="s">
        <v>15172</v>
      </c>
      <c r="B4813" s="4" t="s">
        <v>15173</v>
      </c>
      <c r="C4813" s="4" t="s">
        <v>25</v>
      </c>
      <c r="D4813" s="4" t="s">
        <v>26</v>
      </c>
      <c r="E4813" s="5" t="str">
        <f>"9100278"</f>
        <v>9100278</v>
      </c>
      <c r="F4813" s="3" t="s">
        <v>15329</v>
      </c>
      <c r="G4813" s="5">
        <v>2241037688</v>
      </c>
      <c r="H4813" s="4" t="s">
        <v>15330</v>
      </c>
      <c r="I4813" s="4" t="s">
        <v>15180</v>
      </c>
      <c r="J4813" s="4" t="s">
        <v>15185</v>
      </c>
      <c r="K4813" s="4" t="s">
        <v>15331</v>
      </c>
      <c r="L4813" s="5">
        <v>85100</v>
      </c>
    </row>
    <row r="4814" spans="1:12" x14ac:dyDescent="0.25">
      <c r="A4814" s="3" t="s">
        <v>15172</v>
      </c>
      <c r="B4814" s="4" t="s">
        <v>15173</v>
      </c>
      <c r="C4814" s="4" t="s">
        <v>25</v>
      </c>
      <c r="D4814" s="4" t="s">
        <v>26</v>
      </c>
      <c r="E4814" s="5" t="str">
        <f>"9100181"</f>
        <v>9100181</v>
      </c>
      <c r="F4814" s="3" t="s">
        <v>15332</v>
      </c>
      <c r="G4814" s="5">
        <v>2243051288</v>
      </c>
      <c r="H4814" s="4" t="s">
        <v>15333</v>
      </c>
      <c r="I4814" s="4" t="s">
        <v>15176</v>
      </c>
      <c r="J4814" s="4" t="s">
        <v>15317</v>
      </c>
      <c r="K4814" s="4" t="s">
        <v>15334</v>
      </c>
      <c r="L4814" s="5">
        <v>85200</v>
      </c>
    </row>
    <row r="4815" spans="1:12" x14ac:dyDescent="0.25">
      <c r="A4815" s="3" t="s">
        <v>15172</v>
      </c>
      <c r="B4815" s="4" t="s">
        <v>15173</v>
      </c>
      <c r="C4815" s="4" t="s">
        <v>14</v>
      </c>
      <c r="D4815" s="4" t="s">
        <v>179</v>
      </c>
      <c r="E4815" s="5" t="str">
        <f>"9100042"</f>
        <v>9100042</v>
      </c>
      <c r="F4815" s="3" t="s">
        <v>15335</v>
      </c>
      <c r="G4815" s="5">
        <v>2241022185</v>
      </c>
      <c r="H4815" s="4" t="s">
        <v>15336</v>
      </c>
      <c r="I4815" s="4" t="s">
        <v>15180</v>
      </c>
      <c r="J4815" s="4" t="s">
        <v>15337</v>
      </c>
      <c r="K4815" s="4" t="s">
        <v>15338</v>
      </c>
      <c r="L4815" s="5">
        <v>85100</v>
      </c>
    </row>
    <row r="4816" spans="1:12" x14ac:dyDescent="0.25">
      <c r="A4816" s="3" t="s">
        <v>15172</v>
      </c>
      <c r="B4816" s="4" t="s">
        <v>15173</v>
      </c>
      <c r="C4816" s="4" t="s">
        <v>14</v>
      </c>
      <c r="D4816" s="4" t="s">
        <v>15</v>
      </c>
      <c r="E4816" s="5" t="str">
        <f>"9100262"</f>
        <v>9100262</v>
      </c>
      <c r="F4816" s="3" t="s">
        <v>15339</v>
      </c>
      <c r="G4816" s="5">
        <v>2241062829</v>
      </c>
      <c r="H4816" s="4" t="s">
        <v>15340</v>
      </c>
      <c r="I4816" s="4" t="s">
        <v>15180</v>
      </c>
      <c r="J4816" s="4" t="s">
        <v>15185</v>
      </c>
      <c r="K4816" s="4" t="s">
        <v>15341</v>
      </c>
      <c r="L4816" s="5">
        <v>85100</v>
      </c>
    </row>
    <row r="4817" spans="1:12" x14ac:dyDescent="0.25">
      <c r="A4817" s="3" t="s">
        <v>15172</v>
      </c>
      <c r="B4817" s="4" t="s">
        <v>15173</v>
      </c>
      <c r="C4817" s="4" t="s">
        <v>25</v>
      </c>
      <c r="D4817" s="4" t="s">
        <v>26</v>
      </c>
      <c r="E4817" s="5" t="str">
        <f>"9100207"</f>
        <v>9100207</v>
      </c>
      <c r="F4817" s="3" t="s">
        <v>15342</v>
      </c>
      <c r="G4817" s="5">
        <v>2243024348</v>
      </c>
      <c r="H4817" s="4" t="s">
        <v>15343</v>
      </c>
      <c r="I4817" s="4" t="s">
        <v>15176</v>
      </c>
      <c r="J4817" s="4" t="s">
        <v>15317</v>
      </c>
      <c r="K4817" s="4" t="s">
        <v>15344</v>
      </c>
      <c r="L4817" s="5">
        <v>85200</v>
      </c>
    </row>
    <row r="4818" spans="1:12" x14ac:dyDescent="0.25">
      <c r="A4818" s="3" t="s">
        <v>15172</v>
      </c>
      <c r="B4818" s="4" t="s">
        <v>15173</v>
      </c>
      <c r="C4818" s="4" t="s">
        <v>25</v>
      </c>
      <c r="D4818" s="4" t="s">
        <v>26</v>
      </c>
      <c r="E4818" s="5" t="str">
        <f>"9100213"</f>
        <v>9100213</v>
      </c>
      <c r="F4818" s="3" t="s">
        <v>15345</v>
      </c>
      <c r="G4818" s="5">
        <v>2243029170</v>
      </c>
      <c r="H4818" s="4" t="s">
        <v>15346</v>
      </c>
      <c r="I4818" s="4" t="s">
        <v>15176</v>
      </c>
      <c r="J4818" s="4" t="s">
        <v>15317</v>
      </c>
      <c r="K4818" s="4" t="s">
        <v>15347</v>
      </c>
      <c r="L4818" s="5">
        <v>85200</v>
      </c>
    </row>
    <row r="4819" spans="1:12" x14ac:dyDescent="0.25">
      <c r="A4819" s="3" t="s">
        <v>15172</v>
      </c>
      <c r="B4819" s="4" t="s">
        <v>15173</v>
      </c>
      <c r="C4819" s="4" t="s">
        <v>14</v>
      </c>
      <c r="D4819" s="4" t="s">
        <v>15</v>
      </c>
      <c r="E4819" s="5" t="str">
        <f>"9100050"</f>
        <v>9100050</v>
      </c>
      <c r="F4819" s="3" t="s">
        <v>15348</v>
      </c>
      <c r="G4819" s="5">
        <v>2241022002</v>
      </c>
      <c r="H4819" s="4" t="s">
        <v>15349</v>
      </c>
      <c r="I4819" s="4" t="s">
        <v>15180</v>
      </c>
      <c r="J4819" s="4" t="s">
        <v>15185</v>
      </c>
      <c r="K4819" s="4" t="s">
        <v>15350</v>
      </c>
      <c r="L4819" s="5">
        <v>85100</v>
      </c>
    </row>
    <row r="4820" spans="1:12" x14ac:dyDescent="0.25">
      <c r="A4820" s="3" t="s">
        <v>15172</v>
      </c>
      <c r="B4820" s="4" t="s">
        <v>15173</v>
      </c>
      <c r="C4820" s="4" t="s">
        <v>25</v>
      </c>
      <c r="D4820" s="4" t="s">
        <v>26</v>
      </c>
      <c r="E4820" s="5" t="str">
        <f>"9100265"</f>
        <v>9100265</v>
      </c>
      <c r="F4820" s="3" t="s">
        <v>15351</v>
      </c>
      <c r="G4820" s="5">
        <v>2241037924</v>
      </c>
      <c r="H4820" s="4" t="s">
        <v>15352</v>
      </c>
      <c r="I4820" s="4" t="s">
        <v>15180</v>
      </c>
      <c r="J4820" s="4" t="s">
        <v>15185</v>
      </c>
      <c r="K4820" s="4" t="s">
        <v>15353</v>
      </c>
      <c r="L4820" s="5">
        <v>85100</v>
      </c>
    </row>
    <row r="4821" spans="1:12" x14ac:dyDescent="0.25">
      <c r="A4821" s="3" t="s">
        <v>15172</v>
      </c>
      <c r="B4821" s="4" t="s">
        <v>15173</v>
      </c>
      <c r="C4821" s="4" t="s">
        <v>25</v>
      </c>
      <c r="D4821" s="4" t="s">
        <v>26</v>
      </c>
      <c r="E4821" s="5" t="str">
        <f>"9100271"</f>
        <v>9100271</v>
      </c>
      <c r="F4821" s="3" t="s">
        <v>15354</v>
      </c>
      <c r="G4821" s="5">
        <v>2243050844</v>
      </c>
      <c r="H4821" s="4" t="s">
        <v>15355</v>
      </c>
      <c r="I4821" s="4" t="s">
        <v>15176</v>
      </c>
      <c r="J4821" s="4" t="s">
        <v>15317</v>
      </c>
      <c r="K4821" s="4" t="s">
        <v>15356</v>
      </c>
      <c r="L4821" s="5">
        <v>85200</v>
      </c>
    </row>
    <row r="4822" spans="1:12" x14ac:dyDescent="0.25">
      <c r="A4822" s="3" t="s">
        <v>15172</v>
      </c>
      <c r="B4822" s="4" t="s">
        <v>15173</v>
      </c>
      <c r="C4822" s="4" t="s">
        <v>25</v>
      </c>
      <c r="D4822" s="4" t="s">
        <v>26</v>
      </c>
      <c r="E4822" s="5" t="str">
        <f>"9100113"</f>
        <v>9100113</v>
      </c>
      <c r="F4822" s="3" t="s">
        <v>15357</v>
      </c>
      <c r="G4822" s="5">
        <v>2241026564</v>
      </c>
      <c r="H4822" s="4" t="s">
        <v>15358</v>
      </c>
      <c r="I4822" s="4" t="s">
        <v>15180</v>
      </c>
      <c r="J4822" s="4" t="s">
        <v>15185</v>
      </c>
      <c r="K4822" s="4" t="s">
        <v>15359</v>
      </c>
      <c r="L4822" s="5">
        <v>85100</v>
      </c>
    </row>
    <row r="4823" spans="1:12" x14ac:dyDescent="0.25">
      <c r="A4823" s="3" t="s">
        <v>15172</v>
      </c>
      <c r="B4823" s="4" t="s">
        <v>15173</v>
      </c>
      <c r="C4823" s="4" t="s">
        <v>25</v>
      </c>
      <c r="D4823" s="4" t="s">
        <v>26</v>
      </c>
      <c r="E4823" s="5" t="str">
        <f>"9100046"</f>
        <v>9100046</v>
      </c>
      <c r="F4823" s="3" t="s">
        <v>15360</v>
      </c>
      <c r="G4823" s="5">
        <v>2241028560</v>
      </c>
      <c r="H4823" s="4" t="s">
        <v>15361</v>
      </c>
      <c r="I4823" s="4" t="s">
        <v>15180</v>
      </c>
      <c r="J4823" s="4" t="s">
        <v>15185</v>
      </c>
      <c r="K4823" s="4" t="s">
        <v>15362</v>
      </c>
      <c r="L4823" s="5">
        <v>85100</v>
      </c>
    </row>
    <row r="4824" spans="1:12" x14ac:dyDescent="0.25">
      <c r="A4824" s="3" t="s">
        <v>15172</v>
      </c>
      <c r="B4824" s="4" t="s">
        <v>15173</v>
      </c>
      <c r="C4824" s="4" t="s">
        <v>25</v>
      </c>
      <c r="D4824" s="4" t="s">
        <v>26</v>
      </c>
      <c r="E4824" s="5" t="str">
        <f>"9520812"</f>
        <v>9520812</v>
      </c>
      <c r="F4824" s="3" t="s">
        <v>15363</v>
      </c>
      <c r="G4824" s="5">
        <v>2241021004</v>
      </c>
      <c r="H4824" s="4" t="s">
        <v>15364</v>
      </c>
      <c r="I4824" s="4" t="s">
        <v>15180</v>
      </c>
      <c r="J4824" s="4" t="s">
        <v>15185</v>
      </c>
      <c r="K4824" s="4" t="s">
        <v>15365</v>
      </c>
      <c r="L4824" s="5">
        <v>85100</v>
      </c>
    </row>
    <row r="4825" spans="1:12" x14ac:dyDescent="0.25">
      <c r="A4825" s="3" t="s">
        <v>15172</v>
      </c>
      <c r="B4825" s="4" t="s">
        <v>15173</v>
      </c>
      <c r="C4825" s="4" t="s">
        <v>25</v>
      </c>
      <c r="D4825" s="4" t="s">
        <v>26</v>
      </c>
      <c r="E4825" s="5" t="str">
        <f>"9100049"</f>
        <v>9100049</v>
      </c>
      <c r="F4825" s="3" t="s">
        <v>15366</v>
      </c>
      <c r="G4825" s="5">
        <v>2241078220</v>
      </c>
      <c r="H4825" s="4" t="s">
        <v>15367</v>
      </c>
      <c r="I4825" s="4" t="s">
        <v>15180</v>
      </c>
      <c r="J4825" s="4" t="s">
        <v>15185</v>
      </c>
      <c r="K4825" s="4" t="s">
        <v>15368</v>
      </c>
      <c r="L4825" s="5">
        <v>85133</v>
      </c>
    </row>
    <row r="4826" spans="1:12" x14ac:dyDescent="0.25">
      <c r="A4826" s="3" t="s">
        <v>15172</v>
      </c>
      <c r="B4826" s="4" t="s">
        <v>15173</v>
      </c>
      <c r="C4826" s="4" t="s">
        <v>25</v>
      </c>
      <c r="D4826" s="4" t="s">
        <v>26</v>
      </c>
      <c r="E4826" s="5" t="str">
        <f>"9100111"</f>
        <v>9100111</v>
      </c>
      <c r="F4826" s="3" t="s">
        <v>15369</v>
      </c>
      <c r="G4826" s="5">
        <v>2241039705</v>
      </c>
      <c r="H4826" s="4" t="s">
        <v>15370</v>
      </c>
      <c r="I4826" s="4" t="s">
        <v>15180</v>
      </c>
      <c r="J4826" s="4" t="s">
        <v>15185</v>
      </c>
      <c r="K4826" s="4" t="s">
        <v>15368</v>
      </c>
      <c r="L4826" s="5">
        <v>85100</v>
      </c>
    </row>
    <row r="4827" spans="1:12" x14ac:dyDescent="0.25">
      <c r="A4827" s="3" t="s">
        <v>15172</v>
      </c>
      <c r="B4827" s="4" t="s">
        <v>15173</v>
      </c>
      <c r="C4827" s="4" t="s">
        <v>14</v>
      </c>
      <c r="D4827" s="4" t="s">
        <v>15</v>
      </c>
      <c r="E4827" s="5" t="str">
        <f>"9100112"</f>
        <v>9100112</v>
      </c>
      <c r="F4827" s="3" t="s">
        <v>15371</v>
      </c>
      <c r="G4827" s="5">
        <v>2241027181</v>
      </c>
      <c r="H4827" s="4" t="s">
        <v>15372</v>
      </c>
      <c r="I4827" s="4" t="s">
        <v>15180</v>
      </c>
      <c r="J4827" s="4" t="s">
        <v>15185</v>
      </c>
      <c r="K4827" s="4" t="s">
        <v>15373</v>
      </c>
      <c r="L4827" s="5">
        <v>85132</v>
      </c>
    </row>
    <row r="4828" spans="1:12" x14ac:dyDescent="0.25">
      <c r="A4828" s="3" t="s">
        <v>15172</v>
      </c>
      <c r="B4828" s="4" t="s">
        <v>15173</v>
      </c>
      <c r="C4828" s="4" t="s">
        <v>25</v>
      </c>
      <c r="D4828" s="4" t="s">
        <v>26</v>
      </c>
      <c r="E4828" s="5" t="str">
        <f>"9100250"</f>
        <v>9100250</v>
      </c>
      <c r="F4828" s="3" t="s">
        <v>15374</v>
      </c>
      <c r="G4828" s="5">
        <v>2241060520</v>
      </c>
      <c r="H4828" s="4" t="s">
        <v>15375</v>
      </c>
      <c r="I4828" s="4" t="s">
        <v>15180</v>
      </c>
      <c r="J4828" s="4" t="s">
        <v>15376</v>
      </c>
      <c r="K4828" s="4" t="s">
        <v>15377</v>
      </c>
      <c r="L4828" s="5">
        <v>85100</v>
      </c>
    </row>
    <row r="4829" spans="1:12" x14ac:dyDescent="0.25">
      <c r="A4829" s="3" t="s">
        <v>15172</v>
      </c>
      <c r="B4829" s="4" t="s">
        <v>15173</v>
      </c>
      <c r="C4829" s="4" t="s">
        <v>14</v>
      </c>
      <c r="D4829" s="4" t="s">
        <v>15</v>
      </c>
      <c r="E4829" s="5" t="str">
        <f>"9100156"</f>
        <v>9100156</v>
      </c>
      <c r="F4829" s="3" t="s">
        <v>15378</v>
      </c>
      <c r="G4829" s="5">
        <v>2243048505</v>
      </c>
      <c r="H4829" s="4" t="s">
        <v>15379</v>
      </c>
      <c r="I4829" s="4" t="s">
        <v>15176</v>
      </c>
      <c r="J4829" s="4" t="s">
        <v>15380</v>
      </c>
      <c r="K4829" s="4" t="s">
        <v>15381</v>
      </c>
      <c r="L4829" s="5">
        <v>85200</v>
      </c>
    </row>
    <row r="4830" spans="1:12" x14ac:dyDescent="0.25">
      <c r="A4830" s="3" t="s">
        <v>15172</v>
      </c>
      <c r="B4830" s="4" t="s">
        <v>15173</v>
      </c>
      <c r="C4830" s="4" t="s">
        <v>14</v>
      </c>
      <c r="D4830" s="4" t="s">
        <v>15</v>
      </c>
      <c r="E4830" s="5" t="str">
        <f>"9100244"</f>
        <v>9100244</v>
      </c>
      <c r="F4830" s="3" t="s">
        <v>15382</v>
      </c>
      <c r="G4830" s="5">
        <v>2241031139</v>
      </c>
      <c r="H4830" s="4" t="s">
        <v>15383</v>
      </c>
      <c r="I4830" s="4" t="s">
        <v>15180</v>
      </c>
      <c r="J4830" s="4" t="s">
        <v>15185</v>
      </c>
      <c r="K4830" s="4" t="s">
        <v>15384</v>
      </c>
      <c r="L4830" s="5">
        <v>85100</v>
      </c>
    </row>
    <row r="4831" spans="1:12" x14ac:dyDescent="0.25">
      <c r="A4831" s="3" t="s">
        <v>15172</v>
      </c>
      <c r="B4831" s="4" t="s">
        <v>15173</v>
      </c>
      <c r="C4831" s="4" t="s">
        <v>14</v>
      </c>
      <c r="D4831" s="4" t="s">
        <v>15</v>
      </c>
      <c r="E4831" s="5" t="str">
        <f>"9100008"</f>
        <v>9100008</v>
      </c>
      <c r="F4831" s="3" t="s">
        <v>15385</v>
      </c>
      <c r="G4831" s="5">
        <v>2242028220</v>
      </c>
      <c r="H4831" s="4" t="s">
        <v>15386</v>
      </c>
      <c r="I4831" s="4" t="s">
        <v>15230</v>
      </c>
      <c r="J4831" s="4" t="s">
        <v>15231</v>
      </c>
      <c r="K4831" s="4" t="s">
        <v>15387</v>
      </c>
      <c r="L4831" s="5">
        <v>85300</v>
      </c>
    </row>
    <row r="4832" spans="1:12" x14ac:dyDescent="0.25">
      <c r="A4832" s="3" t="s">
        <v>15172</v>
      </c>
      <c r="B4832" s="4" t="s">
        <v>15173</v>
      </c>
      <c r="C4832" s="4" t="s">
        <v>14</v>
      </c>
      <c r="D4832" s="4" t="s">
        <v>15</v>
      </c>
      <c r="E4832" s="5" t="str">
        <f>"9100110"</f>
        <v>9100110</v>
      </c>
      <c r="F4832" s="3" t="s">
        <v>15388</v>
      </c>
      <c r="G4832" s="5">
        <v>2241023549</v>
      </c>
      <c r="H4832" s="4" t="s">
        <v>15389</v>
      </c>
      <c r="I4832" s="4" t="s">
        <v>15180</v>
      </c>
      <c r="J4832" s="4" t="s">
        <v>15185</v>
      </c>
      <c r="K4832" s="4" t="s">
        <v>15390</v>
      </c>
      <c r="L4832" s="5">
        <v>85100</v>
      </c>
    </row>
    <row r="4833" spans="1:12" x14ac:dyDescent="0.25">
      <c r="A4833" s="3" t="s">
        <v>15172</v>
      </c>
      <c r="B4833" s="4" t="s">
        <v>15173</v>
      </c>
      <c r="C4833" s="4" t="s">
        <v>14</v>
      </c>
      <c r="D4833" s="4" t="s">
        <v>15</v>
      </c>
      <c r="E4833" s="5" t="str">
        <f>"9100140"</f>
        <v>9100140</v>
      </c>
      <c r="F4833" s="3" t="s">
        <v>15391</v>
      </c>
      <c r="G4833" s="5">
        <v>2241050058</v>
      </c>
      <c r="H4833" s="4" t="s">
        <v>15392</v>
      </c>
      <c r="I4833" s="4" t="s">
        <v>15180</v>
      </c>
      <c r="J4833" s="4" t="s">
        <v>15393</v>
      </c>
      <c r="K4833" s="4" t="s">
        <v>15393</v>
      </c>
      <c r="L4833" s="5">
        <v>85100</v>
      </c>
    </row>
    <row r="4834" spans="1:12" x14ac:dyDescent="0.25">
      <c r="A4834" s="3" t="s">
        <v>15172</v>
      </c>
      <c r="B4834" s="4" t="s">
        <v>15173</v>
      </c>
      <c r="C4834" s="4" t="s">
        <v>14</v>
      </c>
      <c r="D4834" s="4" t="s">
        <v>15</v>
      </c>
      <c r="E4834" s="5" t="str">
        <f>"9100134"</f>
        <v>9100134</v>
      </c>
      <c r="F4834" s="3" t="s">
        <v>15394</v>
      </c>
      <c r="G4834" s="5">
        <v>2244044377</v>
      </c>
      <c r="H4834" s="4" t="s">
        <v>15395</v>
      </c>
      <c r="I4834" s="4" t="s">
        <v>15180</v>
      </c>
      <c r="J4834" s="4" t="s">
        <v>15224</v>
      </c>
      <c r="K4834" s="4" t="s">
        <v>15224</v>
      </c>
      <c r="L4834" s="5">
        <v>85109</v>
      </c>
    </row>
    <row r="4835" spans="1:12" x14ac:dyDescent="0.25">
      <c r="A4835" s="3" t="s">
        <v>15172</v>
      </c>
      <c r="B4835" s="4" t="s">
        <v>15173</v>
      </c>
      <c r="C4835" s="4" t="s">
        <v>14</v>
      </c>
      <c r="D4835" s="4" t="s">
        <v>15</v>
      </c>
      <c r="E4835" s="5" t="str">
        <f>"9100073"</f>
        <v>9100073</v>
      </c>
      <c r="F4835" s="3" t="s">
        <v>15396</v>
      </c>
      <c r="G4835" s="5">
        <v>2241047172</v>
      </c>
      <c r="H4835" s="4" t="s">
        <v>15397</v>
      </c>
      <c r="I4835" s="4" t="s">
        <v>15180</v>
      </c>
      <c r="J4835" s="4" t="s">
        <v>15398</v>
      </c>
      <c r="K4835" s="4" t="s">
        <v>15398</v>
      </c>
      <c r="L4835" s="5">
        <v>85101</v>
      </c>
    </row>
    <row r="4836" spans="1:12" x14ac:dyDescent="0.25">
      <c r="A4836" s="3" t="s">
        <v>15172</v>
      </c>
      <c r="B4836" s="4" t="s">
        <v>15173</v>
      </c>
      <c r="C4836" s="4" t="s">
        <v>25</v>
      </c>
      <c r="D4836" s="4" t="s">
        <v>26</v>
      </c>
      <c r="E4836" s="5" t="str">
        <f>"9100063"</f>
        <v>9100063</v>
      </c>
      <c r="F4836" s="3" t="s">
        <v>15399</v>
      </c>
      <c r="G4836" s="5">
        <v>2246041261</v>
      </c>
      <c r="H4836" s="4" t="s">
        <v>15400</v>
      </c>
      <c r="I4836" s="4" t="s">
        <v>15180</v>
      </c>
      <c r="J4836" s="4" t="s">
        <v>15401</v>
      </c>
      <c r="K4836" s="4" t="s">
        <v>15402</v>
      </c>
      <c r="L4836" s="5">
        <v>85108</v>
      </c>
    </row>
    <row r="4837" spans="1:12" x14ac:dyDescent="0.25">
      <c r="A4837" s="3" t="s">
        <v>15172</v>
      </c>
      <c r="B4837" s="4" t="s">
        <v>15173</v>
      </c>
      <c r="C4837" s="4" t="s">
        <v>14</v>
      </c>
      <c r="D4837" s="4" t="s">
        <v>15</v>
      </c>
      <c r="E4837" s="5" t="str">
        <f>"9100115"</f>
        <v>9100115</v>
      </c>
      <c r="F4837" s="3" t="s">
        <v>15403</v>
      </c>
      <c r="G4837" s="5">
        <v>2241062395</v>
      </c>
      <c r="H4837" s="4" t="s">
        <v>15404</v>
      </c>
      <c r="I4837" s="4" t="s">
        <v>15180</v>
      </c>
      <c r="J4837" s="4" t="s">
        <v>15405</v>
      </c>
      <c r="K4837" s="4" t="s">
        <v>15406</v>
      </c>
      <c r="L4837" s="5">
        <v>85100</v>
      </c>
    </row>
    <row r="4838" spans="1:12" x14ac:dyDescent="0.25">
      <c r="A4838" s="3" t="s">
        <v>15172</v>
      </c>
      <c r="B4838" s="4" t="s">
        <v>15173</v>
      </c>
      <c r="C4838" s="4" t="s">
        <v>14</v>
      </c>
      <c r="D4838" s="4" t="s">
        <v>15</v>
      </c>
      <c r="E4838" s="5" t="str">
        <f>"9100152"</f>
        <v>9100152</v>
      </c>
      <c r="F4838" s="3" t="s">
        <v>15407</v>
      </c>
      <c r="G4838" s="5">
        <v>2243028131</v>
      </c>
      <c r="H4838" s="4" t="s">
        <v>15408</v>
      </c>
      <c r="I4838" s="4" t="s">
        <v>15176</v>
      </c>
      <c r="J4838" s="4" t="s">
        <v>15177</v>
      </c>
      <c r="K4838" s="4" t="s">
        <v>2879</v>
      </c>
      <c r="L4838" s="5">
        <v>85200</v>
      </c>
    </row>
    <row r="4839" spans="1:12" x14ac:dyDescent="0.25">
      <c r="A4839" s="3" t="s">
        <v>15172</v>
      </c>
      <c r="B4839" s="4" t="s">
        <v>15173</v>
      </c>
      <c r="C4839" s="4" t="s">
        <v>14</v>
      </c>
      <c r="D4839" s="4" t="s">
        <v>15</v>
      </c>
      <c r="E4839" s="5" t="str">
        <f>"9100155"</f>
        <v>9100155</v>
      </c>
      <c r="F4839" s="3" t="s">
        <v>15409</v>
      </c>
      <c r="G4839" s="5">
        <v>2243029262</v>
      </c>
      <c r="H4839" s="4" t="s">
        <v>15410</v>
      </c>
      <c r="I4839" s="4" t="s">
        <v>15176</v>
      </c>
      <c r="J4839" s="4" t="s">
        <v>15411</v>
      </c>
      <c r="K4839" s="4" t="s">
        <v>15412</v>
      </c>
      <c r="L4839" s="5">
        <v>85200</v>
      </c>
    </row>
    <row r="4840" spans="1:12" x14ac:dyDescent="0.25">
      <c r="A4840" s="3" t="s">
        <v>15172</v>
      </c>
      <c r="B4840" s="4" t="s">
        <v>15173</v>
      </c>
      <c r="C4840" s="4" t="s">
        <v>25</v>
      </c>
      <c r="D4840" s="4" t="s">
        <v>26</v>
      </c>
      <c r="E4840" s="5" t="str">
        <f>"9100034"</f>
        <v>9100034</v>
      </c>
      <c r="F4840" s="3" t="s">
        <v>15413</v>
      </c>
      <c r="G4840" s="5">
        <v>2246360663</v>
      </c>
      <c r="H4840" s="4" t="s">
        <v>15414</v>
      </c>
      <c r="I4840" s="4" t="s">
        <v>15241</v>
      </c>
      <c r="J4840" s="4" t="s">
        <v>15242</v>
      </c>
      <c r="K4840" s="4" t="s">
        <v>15242</v>
      </c>
      <c r="L4840" s="5">
        <v>85600</v>
      </c>
    </row>
    <row r="4841" spans="1:12" x14ac:dyDescent="0.25">
      <c r="A4841" s="3" t="s">
        <v>15172</v>
      </c>
      <c r="B4841" s="4" t="s">
        <v>15173</v>
      </c>
      <c r="C4841" s="4" t="s">
        <v>14</v>
      </c>
      <c r="D4841" s="4" t="s">
        <v>15</v>
      </c>
      <c r="E4841" s="5" t="str">
        <f>"9100164"</f>
        <v>9100164</v>
      </c>
      <c r="F4841" s="3" t="s">
        <v>15415</v>
      </c>
      <c r="G4841" s="5">
        <v>2247022580</v>
      </c>
      <c r="H4841" s="4" t="s">
        <v>15416</v>
      </c>
      <c r="I4841" s="4" t="s">
        <v>15216</v>
      </c>
      <c r="J4841" s="4"/>
      <c r="K4841" s="4" t="s">
        <v>15417</v>
      </c>
      <c r="L4841" s="5">
        <v>85400</v>
      </c>
    </row>
    <row r="4842" spans="1:12" x14ac:dyDescent="0.25">
      <c r="A4842" s="3" t="s">
        <v>15172</v>
      </c>
      <c r="B4842" s="4" t="s">
        <v>15173</v>
      </c>
      <c r="C4842" s="4" t="s">
        <v>14</v>
      </c>
      <c r="D4842" s="4" t="s">
        <v>15</v>
      </c>
      <c r="E4842" s="5" t="str">
        <f>"9100160"</f>
        <v>9100160</v>
      </c>
      <c r="F4842" s="3" t="s">
        <v>15418</v>
      </c>
      <c r="G4842" s="5">
        <v>2243029190</v>
      </c>
      <c r="H4842" s="4" t="s">
        <v>15419</v>
      </c>
      <c r="I4842" s="4" t="s">
        <v>15176</v>
      </c>
      <c r="J4842" s="4" t="s">
        <v>15177</v>
      </c>
      <c r="K4842" s="4" t="s">
        <v>15279</v>
      </c>
      <c r="L4842" s="5">
        <v>85200</v>
      </c>
    </row>
    <row r="4843" spans="1:12" x14ac:dyDescent="0.25">
      <c r="A4843" s="3" t="s">
        <v>15172</v>
      </c>
      <c r="B4843" s="4" t="s">
        <v>15173</v>
      </c>
      <c r="C4843" s="4" t="s">
        <v>14</v>
      </c>
      <c r="D4843" s="4" t="s">
        <v>15</v>
      </c>
      <c r="E4843" s="5" t="str">
        <f>"9100150"</f>
        <v>9100150</v>
      </c>
      <c r="F4843" s="3" t="s">
        <v>15420</v>
      </c>
      <c r="G4843" s="5">
        <v>2243029500</v>
      </c>
      <c r="H4843" s="4" t="s">
        <v>15421</v>
      </c>
      <c r="I4843" s="4" t="s">
        <v>15176</v>
      </c>
      <c r="J4843" s="4" t="s">
        <v>15422</v>
      </c>
      <c r="K4843" s="4" t="s">
        <v>15423</v>
      </c>
      <c r="L4843" s="5">
        <v>85200</v>
      </c>
    </row>
    <row r="4844" spans="1:12" x14ac:dyDescent="0.25">
      <c r="A4844" s="3" t="s">
        <v>15172</v>
      </c>
      <c r="B4844" s="4" t="s">
        <v>15173</v>
      </c>
      <c r="C4844" s="4" t="s">
        <v>14</v>
      </c>
      <c r="D4844" s="4" t="s">
        <v>15</v>
      </c>
      <c r="E4844" s="5" t="str">
        <f>"9100127"</f>
        <v>9100127</v>
      </c>
      <c r="F4844" s="3" t="s">
        <v>15424</v>
      </c>
      <c r="G4844" s="5">
        <v>2244043413</v>
      </c>
      <c r="H4844" s="4" t="s">
        <v>15425</v>
      </c>
      <c r="I4844" s="4" t="s">
        <v>15180</v>
      </c>
      <c r="J4844" s="4" t="s">
        <v>15426</v>
      </c>
      <c r="K4844" s="4" t="s">
        <v>15426</v>
      </c>
      <c r="L4844" s="5">
        <v>85109</v>
      </c>
    </row>
    <row r="4845" spans="1:12" x14ac:dyDescent="0.25">
      <c r="A4845" s="3" t="s">
        <v>15172</v>
      </c>
      <c r="B4845" s="4" t="s">
        <v>15173</v>
      </c>
      <c r="C4845" s="4" t="s">
        <v>14</v>
      </c>
      <c r="D4845" s="4" t="s">
        <v>15</v>
      </c>
      <c r="E4845" s="5" t="str">
        <f>"9100138"</f>
        <v>9100138</v>
      </c>
      <c r="F4845" s="3" t="s">
        <v>15427</v>
      </c>
      <c r="G4845" s="5">
        <v>2244051429</v>
      </c>
      <c r="H4845" s="4" t="s">
        <v>15428</v>
      </c>
      <c r="I4845" s="4" t="s">
        <v>15180</v>
      </c>
      <c r="J4845" s="4"/>
      <c r="K4845" s="4" t="s">
        <v>15429</v>
      </c>
      <c r="L4845" s="5">
        <v>85102</v>
      </c>
    </row>
    <row r="4846" spans="1:12" x14ac:dyDescent="0.25">
      <c r="A4846" s="3" t="s">
        <v>15172</v>
      </c>
      <c r="B4846" s="4" t="s">
        <v>15173</v>
      </c>
      <c r="C4846" s="4" t="s">
        <v>25</v>
      </c>
      <c r="D4846" s="4" t="s">
        <v>26</v>
      </c>
      <c r="E4846" s="5" t="str">
        <f>"9100219"</f>
        <v>9100219</v>
      </c>
      <c r="F4846" s="3" t="s">
        <v>15430</v>
      </c>
      <c r="G4846" s="5">
        <v>2241092492</v>
      </c>
      <c r="H4846" s="4" t="s">
        <v>15431</v>
      </c>
      <c r="I4846" s="4" t="s">
        <v>15180</v>
      </c>
      <c r="J4846" s="4" t="s">
        <v>15432</v>
      </c>
      <c r="K4846" s="4" t="s">
        <v>15432</v>
      </c>
      <c r="L4846" s="5">
        <v>85101</v>
      </c>
    </row>
    <row r="4847" spans="1:12" x14ac:dyDescent="0.25">
      <c r="A4847" s="3" t="s">
        <v>15172</v>
      </c>
      <c r="B4847" s="4" t="s">
        <v>15173</v>
      </c>
      <c r="C4847" s="4" t="s">
        <v>25</v>
      </c>
      <c r="D4847" s="4" t="s">
        <v>26</v>
      </c>
      <c r="E4847" s="5" t="str">
        <f>"9100087"</f>
        <v>9100087</v>
      </c>
      <c r="F4847" s="3" t="s">
        <v>15433</v>
      </c>
      <c r="G4847" s="5">
        <v>2241093162</v>
      </c>
      <c r="H4847" s="4" t="s">
        <v>15434</v>
      </c>
      <c r="I4847" s="4" t="s">
        <v>15180</v>
      </c>
      <c r="J4847" s="4" t="s">
        <v>15432</v>
      </c>
      <c r="K4847" s="4" t="s">
        <v>15432</v>
      </c>
      <c r="L4847" s="5">
        <v>85101</v>
      </c>
    </row>
    <row r="4848" spans="1:12" x14ac:dyDescent="0.25">
      <c r="A4848" s="3" t="s">
        <v>15172</v>
      </c>
      <c r="B4848" s="4" t="s">
        <v>15173</v>
      </c>
      <c r="C4848" s="4" t="s">
        <v>25</v>
      </c>
      <c r="D4848" s="4" t="s">
        <v>26</v>
      </c>
      <c r="E4848" s="5" t="str">
        <f>"9100024"</f>
        <v>9100024</v>
      </c>
      <c r="F4848" s="3" t="s">
        <v>15435</v>
      </c>
      <c r="G4848" s="5">
        <v>2242071097</v>
      </c>
      <c r="H4848" s="4" t="s">
        <v>15436</v>
      </c>
      <c r="I4848" s="4" t="s">
        <v>15230</v>
      </c>
      <c r="J4848" s="4" t="s">
        <v>15437</v>
      </c>
      <c r="K4848" s="4" t="s">
        <v>15437</v>
      </c>
      <c r="L4848" s="5">
        <v>85301</v>
      </c>
    </row>
    <row r="4849" spans="1:12" x14ac:dyDescent="0.25">
      <c r="A4849" s="3" t="s">
        <v>15172</v>
      </c>
      <c r="B4849" s="4" t="s">
        <v>15173</v>
      </c>
      <c r="C4849" s="4" t="s">
        <v>14</v>
      </c>
      <c r="D4849" s="4" t="s">
        <v>15</v>
      </c>
      <c r="E4849" s="5" t="str">
        <f>"9100254"</f>
        <v>9100254</v>
      </c>
      <c r="F4849" s="3" t="s">
        <v>15438</v>
      </c>
      <c r="G4849" s="5">
        <v>2241051196</v>
      </c>
      <c r="H4849" s="4" t="s">
        <v>15439</v>
      </c>
      <c r="I4849" s="4" t="s">
        <v>15180</v>
      </c>
      <c r="J4849" s="4" t="s">
        <v>15181</v>
      </c>
      <c r="K4849" s="4" t="s">
        <v>15440</v>
      </c>
      <c r="L4849" s="5">
        <v>85103</v>
      </c>
    </row>
    <row r="4850" spans="1:12" x14ac:dyDescent="0.25">
      <c r="A4850" s="3" t="s">
        <v>15172</v>
      </c>
      <c r="B4850" s="4" t="s">
        <v>15173</v>
      </c>
      <c r="C4850" s="4" t="s">
        <v>14</v>
      </c>
      <c r="D4850" s="4" t="s">
        <v>15</v>
      </c>
      <c r="E4850" s="5" t="str">
        <f>"9100142"</f>
        <v>9100142</v>
      </c>
      <c r="F4850" s="3" t="s">
        <v>15441</v>
      </c>
      <c r="G4850" s="5">
        <v>2243061202</v>
      </c>
      <c r="H4850" s="4" t="s">
        <v>15442</v>
      </c>
      <c r="I4850" s="4" t="s">
        <v>15299</v>
      </c>
      <c r="J4850" s="4" t="s">
        <v>15443</v>
      </c>
      <c r="K4850" s="4" t="s">
        <v>15444</v>
      </c>
      <c r="L4850" s="5">
        <v>85900</v>
      </c>
    </row>
    <row r="4851" spans="1:12" x14ac:dyDescent="0.25">
      <c r="A4851" s="3" t="s">
        <v>15172</v>
      </c>
      <c r="B4851" s="4" t="s">
        <v>15173</v>
      </c>
      <c r="C4851" s="4" t="s">
        <v>14</v>
      </c>
      <c r="D4851" s="4" t="s">
        <v>15</v>
      </c>
      <c r="E4851" s="5" t="str">
        <f>"9100173"</f>
        <v>9100173</v>
      </c>
      <c r="F4851" s="3" t="s">
        <v>15445</v>
      </c>
      <c r="G4851" s="5">
        <v>2247022873</v>
      </c>
      <c r="H4851" s="4" t="s">
        <v>15446</v>
      </c>
      <c r="I4851" s="4" t="s">
        <v>15216</v>
      </c>
      <c r="J4851" s="4"/>
      <c r="K4851" s="4" t="s">
        <v>15310</v>
      </c>
      <c r="L4851" s="5">
        <v>85400</v>
      </c>
    </row>
    <row r="4852" spans="1:12" x14ac:dyDescent="0.25">
      <c r="A4852" s="3" t="s">
        <v>15172</v>
      </c>
      <c r="B4852" s="4" t="s">
        <v>15173</v>
      </c>
      <c r="C4852" s="4" t="s">
        <v>14</v>
      </c>
      <c r="D4852" s="4" t="s">
        <v>15</v>
      </c>
      <c r="E4852" s="5" t="str">
        <f>"9100002"</f>
        <v>9100002</v>
      </c>
      <c r="F4852" s="3" t="s">
        <v>15447</v>
      </c>
      <c r="G4852" s="5">
        <v>2242022703</v>
      </c>
      <c r="H4852" s="4" t="s">
        <v>15448</v>
      </c>
      <c r="I4852" s="4" t="s">
        <v>15230</v>
      </c>
      <c r="J4852" s="4" t="s">
        <v>15231</v>
      </c>
      <c r="K4852" s="4" t="s">
        <v>15449</v>
      </c>
      <c r="L4852" s="5">
        <v>85300</v>
      </c>
    </row>
    <row r="4853" spans="1:12" ht="30" x14ac:dyDescent="0.25">
      <c r="A4853" s="3" t="s">
        <v>15172</v>
      </c>
      <c r="B4853" s="4" t="s">
        <v>15173</v>
      </c>
      <c r="C4853" s="4" t="s">
        <v>14</v>
      </c>
      <c r="D4853" s="4" t="s">
        <v>15</v>
      </c>
      <c r="E4853" s="5" t="str">
        <f>"9100163"</f>
        <v>9100163</v>
      </c>
      <c r="F4853" s="3" t="s">
        <v>15450</v>
      </c>
      <c r="G4853" s="5">
        <v>2247041231</v>
      </c>
      <c r="H4853" s="4" t="s">
        <v>15451</v>
      </c>
      <c r="I4853" s="4" t="s">
        <v>15452</v>
      </c>
      <c r="J4853" s="4" t="s">
        <v>15453</v>
      </c>
      <c r="K4853" s="4" t="s">
        <v>15453</v>
      </c>
      <c r="L4853" s="5">
        <v>85001</v>
      </c>
    </row>
    <row r="4854" spans="1:12" x14ac:dyDescent="0.25">
      <c r="A4854" s="3" t="s">
        <v>15172</v>
      </c>
      <c r="B4854" s="4" t="s">
        <v>15173</v>
      </c>
      <c r="C4854" s="4" t="s">
        <v>14</v>
      </c>
      <c r="D4854" s="4" t="s">
        <v>15</v>
      </c>
      <c r="E4854" s="5" t="str">
        <f>"9100136"</f>
        <v>9100136</v>
      </c>
      <c r="F4854" s="3" t="s">
        <v>15454</v>
      </c>
      <c r="G4854" s="5">
        <v>2244360453</v>
      </c>
      <c r="H4854" s="4" t="s">
        <v>15455</v>
      </c>
      <c r="I4854" s="4" t="s">
        <v>15180</v>
      </c>
      <c r="J4854" s="4"/>
      <c r="K4854" s="4" t="s">
        <v>15456</v>
      </c>
      <c r="L4854" s="5">
        <v>85107</v>
      </c>
    </row>
    <row r="4855" spans="1:12" x14ac:dyDescent="0.25">
      <c r="A4855" s="3" t="s">
        <v>15172</v>
      </c>
      <c r="B4855" s="4" t="s">
        <v>15173</v>
      </c>
      <c r="C4855" s="4" t="s">
        <v>14</v>
      </c>
      <c r="D4855" s="4" t="s">
        <v>15</v>
      </c>
      <c r="E4855" s="5" t="str">
        <f>"9100007"</f>
        <v>9100007</v>
      </c>
      <c r="F4855" s="3" t="s">
        <v>15457</v>
      </c>
      <c r="G4855" s="5">
        <v>2242028225</v>
      </c>
      <c r="H4855" s="4" t="s">
        <v>15458</v>
      </c>
      <c r="I4855" s="4" t="s">
        <v>15230</v>
      </c>
      <c r="J4855" s="4" t="s">
        <v>15459</v>
      </c>
      <c r="K4855" s="4" t="s">
        <v>15460</v>
      </c>
      <c r="L4855" s="5">
        <v>85300</v>
      </c>
    </row>
    <row r="4856" spans="1:12" x14ac:dyDescent="0.25">
      <c r="A4856" s="3" t="s">
        <v>15172</v>
      </c>
      <c r="B4856" s="4" t="s">
        <v>15173</v>
      </c>
      <c r="C4856" s="4" t="s">
        <v>25</v>
      </c>
      <c r="D4856" s="4" t="s">
        <v>26</v>
      </c>
      <c r="E4856" s="5" t="str">
        <f>"9100076"</f>
        <v>9100076</v>
      </c>
      <c r="F4856" s="3" t="s">
        <v>15461</v>
      </c>
      <c r="G4856" s="5">
        <v>2241081082</v>
      </c>
      <c r="H4856" s="4" t="s">
        <v>15462</v>
      </c>
      <c r="I4856" s="4" t="s">
        <v>15180</v>
      </c>
      <c r="J4856" s="4" t="s">
        <v>15463</v>
      </c>
      <c r="K4856" s="4" t="s">
        <v>15464</v>
      </c>
      <c r="L4856" s="5">
        <v>85106</v>
      </c>
    </row>
    <row r="4857" spans="1:12" x14ac:dyDescent="0.25">
      <c r="A4857" s="3" t="s">
        <v>15172</v>
      </c>
      <c r="B4857" s="4" t="s">
        <v>15173</v>
      </c>
      <c r="C4857" s="4" t="s">
        <v>25</v>
      </c>
      <c r="D4857" s="4" t="s">
        <v>26</v>
      </c>
      <c r="E4857" s="5" t="str">
        <f>"9100184"</f>
        <v>9100184</v>
      </c>
      <c r="F4857" s="3" t="s">
        <v>15465</v>
      </c>
      <c r="G4857" s="5">
        <v>2241047207</v>
      </c>
      <c r="H4857" s="4" t="s">
        <v>15466</v>
      </c>
      <c r="I4857" s="4" t="s">
        <v>15180</v>
      </c>
      <c r="J4857" s="4" t="s">
        <v>15467</v>
      </c>
      <c r="K4857" s="4" t="s">
        <v>15467</v>
      </c>
      <c r="L4857" s="5">
        <v>85101</v>
      </c>
    </row>
    <row r="4858" spans="1:12" x14ac:dyDescent="0.25">
      <c r="A4858" s="3" t="s">
        <v>15172</v>
      </c>
      <c r="B4858" s="4" t="s">
        <v>15173</v>
      </c>
      <c r="C4858" s="4" t="s">
        <v>25</v>
      </c>
      <c r="D4858" s="4" t="s">
        <v>26</v>
      </c>
      <c r="E4858" s="5" t="str">
        <f>"9100283"</f>
        <v>9100283</v>
      </c>
      <c r="F4858" s="3" t="s">
        <v>15468</v>
      </c>
      <c r="G4858" s="5">
        <v>2244023000</v>
      </c>
      <c r="H4858" s="4" t="s">
        <v>15469</v>
      </c>
      <c r="I4858" s="4" t="s">
        <v>15180</v>
      </c>
      <c r="J4858" s="4" t="s">
        <v>15289</v>
      </c>
      <c r="K4858" s="4" t="s">
        <v>15290</v>
      </c>
      <c r="L4858" s="5">
        <v>85102</v>
      </c>
    </row>
    <row r="4859" spans="1:12" x14ac:dyDescent="0.25">
      <c r="A4859" s="3" t="s">
        <v>15172</v>
      </c>
      <c r="B4859" s="4" t="s">
        <v>15173</v>
      </c>
      <c r="C4859" s="4" t="s">
        <v>14</v>
      </c>
      <c r="D4859" s="4" t="s">
        <v>15</v>
      </c>
      <c r="E4859" s="5" t="str">
        <f>"9100051"</f>
        <v>9100051</v>
      </c>
      <c r="F4859" s="3" t="s">
        <v>15470</v>
      </c>
      <c r="G4859" s="5">
        <v>2241024395</v>
      </c>
      <c r="H4859" s="4" t="s">
        <v>15471</v>
      </c>
      <c r="I4859" s="4" t="s">
        <v>15180</v>
      </c>
      <c r="J4859" s="4" t="s">
        <v>15185</v>
      </c>
      <c r="K4859" s="4" t="s">
        <v>15472</v>
      </c>
      <c r="L4859" s="5">
        <v>85131</v>
      </c>
    </row>
    <row r="4860" spans="1:12" x14ac:dyDescent="0.25">
      <c r="A4860" s="3" t="s">
        <v>15172</v>
      </c>
      <c r="B4860" s="4" t="s">
        <v>15173</v>
      </c>
      <c r="C4860" s="4" t="s">
        <v>14</v>
      </c>
      <c r="D4860" s="4" t="s">
        <v>15</v>
      </c>
      <c r="E4860" s="5" t="str">
        <f>"9100263"</f>
        <v>9100263</v>
      </c>
      <c r="F4860" s="3" t="s">
        <v>15473</v>
      </c>
      <c r="G4860" s="5">
        <v>2241090424</v>
      </c>
      <c r="H4860" s="4" t="s">
        <v>15474</v>
      </c>
      <c r="I4860" s="4" t="s">
        <v>15180</v>
      </c>
      <c r="J4860" s="4" t="s">
        <v>15475</v>
      </c>
      <c r="K4860" s="4" t="s">
        <v>15476</v>
      </c>
      <c r="L4860" s="5">
        <v>85101</v>
      </c>
    </row>
    <row r="4861" spans="1:12" x14ac:dyDescent="0.25">
      <c r="A4861" s="3" t="s">
        <v>15172</v>
      </c>
      <c r="B4861" s="4" t="s">
        <v>15173</v>
      </c>
      <c r="C4861" s="4" t="s">
        <v>25</v>
      </c>
      <c r="D4861" s="4" t="s">
        <v>26</v>
      </c>
      <c r="E4861" s="5" t="str">
        <f>"9100123"</f>
        <v>9100123</v>
      </c>
      <c r="F4861" s="3" t="s">
        <v>15477</v>
      </c>
      <c r="G4861" s="5">
        <v>2241053326</v>
      </c>
      <c r="H4861" s="4" t="s">
        <v>15478</v>
      </c>
      <c r="I4861" s="4" t="s">
        <v>15180</v>
      </c>
      <c r="J4861" s="4" t="s">
        <v>15181</v>
      </c>
      <c r="K4861" s="4" t="s">
        <v>15479</v>
      </c>
      <c r="L4861" s="5">
        <v>85103</v>
      </c>
    </row>
    <row r="4862" spans="1:12" x14ac:dyDescent="0.25">
      <c r="A4862" s="3" t="s">
        <v>15172</v>
      </c>
      <c r="B4862" s="4" t="s">
        <v>15173</v>
      </c>
      <c r="C4862" s="4" t="s">
        <v>14</v>
      </c>
      <c r="D4862" s="4" t="s">
        <v>15</v>
      </c>
      <c r="E4862" s="5" t="str">
        <f>"9100095"</f>
        <v>9100095</v>
      </c>
      <c r="F4862" s="3" t="s">
        <v>15480</v>
      </c>
      <c r="G4862" s="5">
        <v>2245041329</v>
      </c>
      <c r="H4862" s="4" t="s">
        <v>15481</v>
      </c>
      <c r="I4862" s="4" t="s">
        <v>15482</v>
      </c>
      <c r="J4862" s="4" t="s">
        <v>15483</v>
      </c>
      <c r="K4862" s="4" t="s">
        <v>15483</v>
      </c>
      <c r="L4862" s="5">
        <v>85800</v>
      </c>
    </row>
    <row r="4863" spans="1:12" x14ac:dyDescent="0.25">
      <c r="A4863" s="3" t="s">
        <v>15172</v>
      </c>
      <c r="B4863" s="4" t="s">
        <v>15173</v>
      </c>
      <c r="C4863" s="4" t="s">
        <v>14</v>
      </c>
      <c r="D4863" s="4" t="s">
        <v>15</v>
      </c>
      <c r="E4863" s="5" t="str">
        <f>"9100077"</f>
        <v>9100077</v>
      </c>
      <c r="F4863" s="3" t="s">
        <v>15484</v>
      </c>
      <c r="G4863" s="5">
        <v>2241081315</v>
      </c>
      <c r="H4863" s="4" t="s">
        <v>15485</v>
      </c>
      <c r="I4863" s="4" t="s">
        <v>15180</v>
      </c>
      <c r="J4863" s="4" t="s">
        <v>15486</v>
      </c>
      <c r="K4863" s="4" t="s">
        <v>9146</v>
      </c>
      <c r="L4863" s="5">
        <v>85106</v>
      </c>
    </row>
    <row r="4864" spans="1:12" x14ac:dyDescent="0.25">
      <c r="A4864" s="3" t="s">
        <v>15172</v>
      </c>
      <c r="B4864" s="4" t="s">
        <v>15173</v>
      </c>
      <c r="C4864" s="4" t="s">
        <v>14</v>
      </c>
      <c r="D4864" s="4" t="s">
        <v>15</v>
      </c>
      <c r="E4864" s="5" t="str">
        <f>"9100017"</f>
        <v>9100017</v>
      </c>
      <c r="F4864" s="3" t="s">
        <v>15487</v>
      </c>
      <c r="G4864" s="5">
        <v>2242069270</v>
      </c>
      <c r="H4864" s="4" t="s">
        <v>15488</v>
      </c>
      <c r="I4864" s="4" t="s">
        <v>15230</v>
      </c>
      <c r="J4864" s="4" t="s">
        <v>15282</v>
      </c>
      <c r="K4864" s="4" t="s">
        <v>15489</v>
      </c>
      <c r="L4864" s="5">
        <v>85300</v>
      </c>
    </row>
    <row r="4865" spans="1:12" x14ac:dyDescent="0.25">
      <c r="A4865" s="3" t="s">
        <v>15172</v>
      </c>
      <c r="B4865" s="4" t="s">
        <v>15173</v>
      </c>
      <c r="C4865" s="4" t="s">
        <v>14</v>
      </c>
      <c r="D4865" s="4" t="s">
        <v>15</v>
      </c>
      <c r="E4865" s="5" t="str">
        <f>"9100071"</f>
        <v>9100071</v>
      </c>
      <c r="F4865" s="3" t="s">
        <v>15490</v>
      </c>
      <c r="G4865" s="5">
        <v>2241091231</v>
      </c>
      <c r="H4865" s="4" t="s">
        <v>15491</v>
      </c>
      <c r="I4865" s="4" t="s">
        <v>15180</v>
      </c>
      <c r="J4865" s="4" t="s">
        <v>15492</v>
      </c>
      <c r="K4865" s="4" t="s">
        <v>15493</v>
      </c>
      <c r="L4865" s="5">
        <v>85104</v>
      </c>
    </row>
    <row r="4866" spans="1:12" x14ac:dyDescent="0.25">
      <c r="A4866" s="3" t="s">
        <v>15172</v>
      </c>
      <c r="B4866" s="4" t="s">
        <v>15173</v>
      </c>
      <c r="C4866" s="4" t="s">
        <v>14</v>
      </c>
      <c r="D4866" s="4" t="s">
        <v>15</v>
      </c>
      <c r="E4866" s="5" t="str">
        <f>"9100130"</f>
        <v>9100130</v>
      </c>
      <c r="F4866" s="3" t="s">
        <v>15494</v>
      </c>
      <c r="G4866" s="5">
        <v>2241085265</v>
      </c>
      <c r="H4866" s="4" t="s">
        <v>15495</v>
      </c>
      <c r="I4866" s="4" t="s">
        <v>15180</v>
      </c>
      <c r="J4866" s="4" t="s">
        <v>15496</v>
      </c>
      <c r="K4866" s="4" t="s">
        <v>15497</v>
      </c>
      <c r="L4866" s="5">
        <v>85105</v>
      </c>
    </row>
    <row r="4867" spans="1:12" x14ac:dyDescent="0.25">
      <c r="A4867" s="3" t="s">
        <v>15172</v>
      </c>
      <c r="B4867" s="4" t="s">
        <v>15173</v>
      </c>
      <c r="C4867" s="4" t="s">
        <v>14</v>
      </c>
      <c r="D4867" s="4" t="s">
        <v>179</v>
      </c>
      <c r="E4867" s="5" t="str">
        <f>"9100068"</f>
        <v>9100068</v>
      </c>
      <c r="F4867" s="3" t="s">
        <v>15498</v>
      </c>
      <c r="G4867" s="5">
        <v>2241040052</v>
      </c>
      <c r="H4867" s="4" t="s">
        <v>15499</v>
      </c>
      <c r="I4867" s="4" t="s">
        <v>15180</v>
      </c>
      <c r="J4867" s="4" t="s">
        <v>15500</v>
      </c>
      <c r="K4867" s="4" t="s">
        <v>15500</v>
      </c>
      <c r="L4867" s="5">
        <v>85106</v>
      </c>
    </row>
    <row r="4868" spans="1:12" x14ac:dyDescent="0.25">
      <c r="A4868" s="3" t="s">
        <v>15172</v>
      </c>
      <c r="B4868" s="4" t="s">
        <v>15173</v>
      </c>
      <c r="C4868" s="4" t="s">
        <v>14</v>
      </c>
      <c r="D4868" s="4" t="s">
        <v>15</v>
      </c>
      <c r="E4868" s="5" t="str">
        <f>"9100044"</f>
        <v>9100044</v>
      </c>
      <c r="F4868" s="3" t="s">
        <v>15501</v>
      </c>
      <c r="G4868" s="5">
        <v>2241023628</v>
      </c>
      <c r="H4868" s="4" t="s">
        <v>15502</v>
      </c>
      <c r="I4868" s="4" t="s">
        <v>15180</v>
      </c>
      <c r="J4868" s="4" t="s">
        <v>15185</v>
      </c>
      <c r="K4868" s="4" t="s">
        <v>15362</v>
      </c>
      <c r="L4868" s="5">
        <v>85100</v>
      </c>
    </row>
    <row r="4869" spans="1:12" x14ac:dyDescent="0.25">
      <c r="A4869" s="3" t="s">
        <v>15172</v>
      </c>
      <c r="B4869" s="4" t="s">
        <v>15173</v>
      </c>
      <c r="C4869" s="4" t="s">
        <v>14</v>
      </c>
      <c r="D4869" s="4" t="s">
        <v>15</v>
      </c>
      <c r="E4869" s="5" t="str">
        <f>"9100191"</f>
        <v>9100191</v>
      </c>
      <c r="F4869" s="3" t="s">
        <v>15503</v>
      </c>
      <c r="G4869" s="5">
        <v>2241061186</v>
      </c>
      <c r="H4869" s="4" t="s">
        <v>15504</v>
      </c>
      <c r="I4869" s="4" t="s">
        <v>15180</v>
      </c>
      <c r="J4869" s="4" t="s">
        <v>15185</v>
      </c>
      <c r="K4869" s="4" t="s">
        <v>15505</v>
      </c>
      <c r="L4869" s="5">
        <v>85100</v>
      </c>
    </row>
    <row r="4870" spans="1:12" x14ac:dyDescent="0.25">
      <c r="A4870" s="3" t="s">
        <v>15172</v>
      </c>
      <c r="B4870" s="4" t="s">
        <v>15173</v>
      </c>
      <c r="C4870" s="4" t="s">
        <v>14</v>
      </c>
      <c r="D4870" s="4" t="s">
        <v>15</v>
      </c>
      <c r="E4870" s="5" t="str">
        <f>"9520619"</f>
        <v>9520619</v>
      </c>
      <c r="F4870" s="3" t="s">
        <v>15506</v>
      </c>
      <c r="G4870" s="5">
        <v>2241069530</v>
      </c>
      <c r="H4870" s="4" t="s">
        <v>15507</v>
      </c>
      <c r="I4870" s="4" t="s">
        <v>15180</v>
      </c>
      <c r="J4870" s="4" t="s">
        <v>15185</v>
      </c>
      <c r="K4870" s="4" t="s">
        <v>15508</v>
      </c>
      <c r="L4870" s="5">
        <v>85100</v>
      </c>
    </row>
    <row r="4871" spans="1:12" x14ac:dyDescent="0.25">
      <c r="A4871" s="3" t="s">
        <v>15172</v>
      </c>
      <c r="B4871" s="4" t="s">
        <v>15173</v>
      </c>
      <c r="C4871" s="4" t="s">
        <v>14</v>
      </c>
      <c r="D4871" s="4" t="s">
        <v>15</v>
      </c>
      <c r="E4871" s="5" t="str">
        <f>"9100132"</f>
        <v>9100132</v>
      </c>
      <c r="F4871" s="3" t="s">
        <v>15509</v>
      </c>
      <c r="G4871" s="5">
        <v>2241062245</v>
      </c>
      <c r="H4871" s="4" t="s">
        <v>15510</v>
      </c>
      <c r="I4871" s="4" t="s">
        <v>15180</v>
      </c>
      <c r="J4871" s="4" t="s">
        <v>15511</v>
      </c>
      <c r="K4871" s="4" t="s">
        <v>15511</v>
      </c>
      <c r="L4871" s="5">
        <v>85100</v>
      </c>
    </row>
    <row r="4872" spans="1:12" x14ac:dyDescent="0.25">
      <c r="A4872" s="3" t="s">
        <v>15172</v>
      </c>
      <c r="B4872" s="4" t="s">
        <v>15173</v>
      </c>
      <c r="C4872" s="4" t="s">
        <v>14</v>
      </c>
      <c r="D4872" s="4" t="s">
        <v>15</v>
      </c>
      <c r="E4872" s="5" t="str">
        <f>"9100092"</f>
        <v>9100092</v>
      </c>
      <c r="F4872" s="3" t="s">
        <v>15512</v>
      </c>
      <c r="G4872" s="5">
        <v>2245022266</v>
      </c>
      <c r="H4872" s="4" t="s">
        <v>15513</v>
      </c>
      <c r="I4872" s="4" t="s">
        <v>15514</v>
      </c>
      <c r="J4872" s="4" t="s">
        <v>15515</v>
      </c>
      <c r="K4872" s="4" t="s">
        <v>15516</v>
      </c>
      <c r="L4872" s="5">
        <v>85700</v>
      </c>
    </row>
    <row r="4873" spans="1:12" x14ac:dyDescent="0.25">
      <c r="A4873" s="3" t="s">
        <v>15172</v>
      </c>
      <c r="B4873" s="4" t="s">
        <v>15173</v>
      </c>
      <c r="C4873" s="4" t="s">
        <v>14</v>
      </c>
      <c r="D4873" s="4" t="s">
        <v>15</v>
      </c>
      <c r="E4873" s="5" t="str">
        <f>"9100032"</f>
        <v>9100032</v>
      </c>
      <c r="F4873" s="3" t="s">
        <v>15517</v>
      </c>
      <c r="G4873" s="5">
        <v>2246071248</v>
      </c>
      <c r="H4873" s="4" t="s">
        <v>15518</v>
      </c>
      <c r="I4873" s="4" t="s">
        <v>15241</v>
      </c>
      <c r="J4873" s="4" t="s">
        <v>15242</v>
      </c>
      <c r="K4873" s="4" t="s">
        <v>15242</v>
      </c>
      <c r="L4873" s="5">
        <v>85600</v>
      </c>
    </row>
    <row r="4874" spans="1:12" x14ac:dyDescent="0.25">
      <c r="A4874" s="3" t="s">
        <v>15172</v>
      </c>
      <c r="B4874" s="4" t="s">
        <v>15173</v>
      </c>
      <c r="C4874" s="4" t="s">
        <v>14</v>
      </c>
      <c r="D4874" s="4" t="s">
        <v>15</v>
      </c>
      <c r="E4874" s="5" t="str">
        <f>"9100282"</f>
        <v>9100282</v>
      </c>
      <c r="F4874" s="3" t="s">
        <v>15519</v>
      </c>
      <c r="G4874" s="5">
        <v>2245023755</v>
      </c>
      <c r="H4874" s="4" t="s">
        <v>15520</v>
      </c>
      <c r="I4874" s="4" t="s">
        <v>15514</v>
      </c>
      <c r="J4874" s="4" t="s">
        <v>15515</v>
      </c>
      <c r="K4874" s="4" t="s">
        <v>15521</v>
      </c>
      <c r="L4874" s="5">
        <v>85700</v>
      </c>
    </row>
    <row r="4875" spans="1:12" x14ac:dyDescent="0.25">
      <c r="A4875" s="3" t="s">
        <v>15172</v>
      </c>
      <c r="B4875" s="4" t="s">
        <v>15173</v>
      </c>
      <c r="C4875" s="4" t="s">
        <v>14</v>
      </c>
      <c r="D4875" s="4" t="s">
        <v>15</v>
      </c>
      <c r="E4875" s="5" t="str">
        <f>"9100096"</f>
        <v>9100096</v>
      </c>
      <c r="F4875" s="3" t="s">
        <v>15522</v>
      </c>
      <c r="G4875" s="5">
        <v>2245031339</v>
      </c>
      <c r="H4875" s="4" t="s">
        <v>15523</v>
      </c>
      <c r="I4875" s="4" t="s">
        <v>15514</v>
      </c>
      <c r="J4875" s="4" t="s">
        <v>15524</v>
      </c>
      <c r="K4875" s="4" t="s">
        <v>15524</v>
      </c>
      <c r="L4875" s="5">
        <v>85700</v>
      </c>
    </row>
    <row r="4876" spans="1:12" x14ac:dyDescent="0.25">
      <c r="A4876" s="3" t="s">
        <v>15172</v>
      </c>
      <c r="B4876" s="4" t="s">
        <v>15173</v>
      </c>
      <c r="C4876" s="4" t="s">
        <v>14</v>
      </c>
      <c r="D4876" s="4" t="s">
        <v>179</v>
      </c>
      <c r="E4876" s="5" t="str">
        <f>"9100057"</f>
        <v>9100057</v>
      </c>
      <c r="F4876" s="3" t="s">
        <v>15525</v>
      </c>
      <c r="G4876" s="5">
        <v>2246360602</v>
      </c>
      <c r="H4876" s="4" t="s">
        <v>15526</v>
      </c>
      <c r="I4876" s="4" t="s">
        <v>15180</v>
      </c>
      <c r="J4876" s="4" t="s">
        <v>15527</v>
      </c>
      <c r="K4876" s="4" t="s">
        <v>15527</v>
      </c>
      <c r="L4876" s="5">
        <v>85106</v>
      </c>
    </row>
    <row r="4877" spans="1:12" x14ac:dyDescent="0.25">
      <c r="A4877" s="3" t="s">
        <v>15172</v>
      </c>
      <c r="B4877" s="4" t="s">
        <v>15173</v>
      </c>
      <c r="C4877" s="4" t="s">
        <v>14</v>
      </c>
      <c r="D4877" s="4" t="s">
        <v>15</v>
      </c>
      <c r="E4877" s="5" t="str">
        <f>"9100120"</f>
        <v>9100120</v>
      </c>
      <c r="F4877" s="3" t="s">
        <v>15528</v>
      </c>
      <c r="G4877" s="5">
        <v>2244022266</v>
      </c>
      <c r="H4877" s="4" t="s">
        <v>15529</v>
      </c>
      <c r="I4877" s="4" t="s">
        <v>15180</v>
      </c>
      <c r="J4877" s="4"/>
      <c r="K4877" s="4" t="s">
        <v>15290</v>
      </c>
      <c r="L4877" s="5">
        <v>85102</v>
      </c>
    </row>
    <row r="4878" spans="1:12" x14ac:dyDescent="0.25">
      <c r="A4878" s="3" t="s">
        <v>15172</v>
      </c>
      <c r="B4878" s="4" t="s">
        <v>15173</v>
      </c>
      <c r="C4878" s="4" t="s">
        <v>14</v>
      </c>
      <c r="D4878" s="4" t="s">
        <v>15</v>
      </c>
      <c r="E4878" s="5" t="str">
        <f>"9100121"</f>
        <v>9100121</v>
      </c>
      <c r="F4878" s="3" t="s">
        <v>15530</v>
      </c>
      <c r="G4878" s="5">
        <v>6974840246</v>
      </c>
      <c r="H4878" s="4" t="s">
        <v>15531</v>
      </c>
      <c r="I4878" s="4" t="s">
        <v>15180</v>
      </c>
      <c r="J4878" s="4" t="s">
        <v>15532</v>
      </c>
      <c r="K4878" s="4" t="s">
        <v>15290</v>
      </c>
      <c r="L4878" s="5">
        <v>85102</v>
      </c>
    </row>
    <row r="4879" spans="1:12" x14ac:dyDescent="0.25">
      <c r="A4879" s="3" t="s">
        <v>15172</v>
      </c>
      <c r="B4879" s="4" t="s">
        <v>15173</v>
      </c>
      <c r="C4879" s="4" t="s">
        <v>14</v>
      </c>
      <c r="D4879" s="4" t="s">
        <v>15</v>
      </c>
      <c r="E4879" s="5" t="str">
        <f>"9100125"</f>
        <v>9100125</v>
      </c>
      <c r="F4879" s="3" t="s">
        <v>15533</v>
      </c>
      <c r="G4879" s="5">
        <v>2241051498</v>
      </c>
      <c r="H4879" s="4" t="s">
        <v>15534</v>
      </c>
      <c r="I4879" s="4" t="s">
        <v>15180</v>
      </c>
      <c r="J4879" s="4" t="s">
        <v>15181</v>
      </c>
      <c r="K4879" s="4" t="s">
        <v>15535</v>
      </c>
      <c r="L4879" s="5">
        <v>85103</v>
      </c>
    </row>
    <row r="4880" spans="1:12" x14ac:dyDescent="0.25">
      <c r="A4880" s="3" t="s">
        <v>15172</v>
      </c>
      <c r="B4880" s="4" t="s">
        <v>15173</v>
      </c>
      <c r="C4880" s="4" t="s">
        <v>14</v>
      </c>
      <c r="D4880" s="4" t="s">
        <v>15</v>
      </c>
      <c r="E4880" s="5" t="str">
        <f>"9100124"</f>
        <v>9100124</v>
      </c>
      <c r="F4880" s="3" t="s">
        <v>15536</v>
      </c>
      <c r="G4880" s="5">
        <v>2241051488</v>
      </c>
      <c r="H4880" s="4" t="s">
        <v>15537</v>
      </c>
      <c r="I4880" s="4" t="s">
        <v>15180</v>
      </c>
      <c r="J4880" s="4" t="s">
        <v>15181</v>
      </c>
      <c r="K4880" s="4" t="s">
        <v>15538</v>
      </c>
      <c r="L4880" s="5">
        <v>85103</v>
      </c>
    </row>
    <row r="4881" spans="1:12" x14ac:dyDescent="0.25">
      <c r="A4881" s="3" t="s">
        <v>15172</v>
      </c>
      <c r="B4881" s="4" t="s">
        <v>15173</v>
      </c>
      <c r="C4881" s="4" t="s">
        <v>14</v>
      </c>
      <c r="D4881" s="4" t="s">
        <v>15</v>
      </c>
      <c r="E4881" s="5" t="str">
        <f>"9100064"</f>
        <v>9100064</v>
      </c>
      <c r="F4881" s="3" t="s">
        <v>15539</v>
      </c>
      <c r="G4881" s="5">
        <v>2246041211</v>
      </c>
      <c r="H4881" s="4" t="s">
        <v>15540</v>
      </c>
      <c r="I4881" s="4" t="s">
        <v>15180</v>
      </c>
      <c r="J4881" s="4" t="s">
        <v>15401</v>
      </c>
      <c r="K4881" s="4" t="s">
        <v>15401</v>
      </c>
      <c r="L4881" s="5">
        <v>85108</v>
      </c>
    </row>
    <row r="4882" spans="1:12" x14ac:dyDescent="0.25">
      <c r="A4882" s="3" t="s">
        <v>15172</v>
      </c>
      <c r="B4882" s="4" t="s">
        <v>15173</v>
      </c>
      <c r="C4882" s="4" t="s">
        <v>14</v>
      </c>
      <c r="D4882" s="4" t="s">
        <v>15</v>
      </c>
      <c r="E4882" s="5" t="str">
        <f>"9100088"</f>
        <v>9100088</v>
      </c>
      <c r="F4882" s="3" t="s">
        <v>15541</v>
      </c>
      <c r="G4882" s="5">
        <v>2241092160</v>
      </c>
      <c r="H4882" s="4" t="s">
        <v>15542</v>
      </c>
      <c r="I4882" s="4" t="s">
        <v>15180</v>
      </c>
      <c r="J4882" s="4" t="s">
        <v>15475</v>
      </c>
      <c r="K4882" s="4" t="s">
        <v>15543</v>
      </c>
      <c r="L4882" s="5">
        <v>85101</v>
      </c>
    </row>
    <row r="4883" spans="1:12" x14ac:dyDescent="0.25">
      <c r="A4883" s="3" t="s">
        <v>15172</v>
      </c>
      <c r="B4883" s="4" t="s">
        <v>15173</v>
      </c>
      <c r="C4883" s="4" t="s">
        <v>14</v>
      </c>
      <c r="D4883" s="4" t="s">
        <v>15</v>
      </c>
      <c r="E4883" s="5" t="str">
        <f>"9100028"</f>
        <v>9100028</v>
      </c>
      <c r="F4883" s="3" t="s">
        <v>15544</v>
      </c>
      <c r="G4883" s="5">
        <v>2242041221</v>
      </c>
      <c r="H4883" s="4" t="s">
        <v>15545</v>
      </c>
      <c r="I4883" s="4" t="s">
        <v>15230</v>
      </c>
      <c r="J4883" s="4" t="s">
        <v>15546</v>
      </c>
      <c r="K4883" s="4" t="s">
        <v>15546</v>
      </c>
      <c r="L4883" s="5">
        <v>85300</v>
      </c>
    </row>
    <row r="4884" spans="1:12" x14ac:dyDescent="0.25">
      <c r="A4884" s="3" t="s">
        <v>15172</v>
      </c>
      <c r="B4884" s="4" t="s">
        <v>15173</v>
      </c>
      <c r="C4884" s="4" t="s">
        <v>14</v>
      </c>
      <c r="D4884" s="4" t="s">
        <v>15</v>
      </c>
      <c r="E4884" s="5" t="str">
        <f>"9100089"</f>
        <v>9100089</v>
      </c>
      <c r="F4884" s="3" t="s">
        <v>15547</v>
      </c>
      <c r="G4884" s="5">
        <v>2241092231</v>
      </c>
      <c r="H4884" s="4" t="s">
        <v>15548</v>
      </c>
      <c r="I4884" s="4" t="s">
        <v>15180</v>
      </c>
      <c r="J4884" s="4" t="s">
        <v>15549</v>
      </c>
      <c r="K4884" s="4" t="s">
        <v>15550</v>
      </c>
      <c r="L4884" s="5">
        <v>85101</v>
      </c>
    </row>
    <row r="4885" spans="1:12" x14ac:dyDescent="0.25">
      <c r="A4885" s="3" t="s">
        <v>15172</v>
      </c>
      <c r="B4885" s="4" t="s">
        <v>15173</v>
      </c>
      <c r="C4885" s="4" t="s">
        <v>14</v>
      </c>
      <c r="D4885" s="4" t="s">
        <v>15</v>
      </c>
      <c r="E4885" s="5" t="str">
        <f>"9100022"</f>
        <v>9100022</v>
      </c>
      <c r="F4885" s="3" t="s">
        <v>15551</v>
      </c>
      <c r="G4885" s="5">
        <v>2242091209</v>
      </c>
      <c r="H4885" s="4" t="s">
        <v>15552</v>
      </c>
      <c r="I4885" s="4" t="s">
        <v>15230</v>
      </c>
      <c r="J4885" s="4" t="s">
        <v>15323</v>
      </c>
      <c r="K4885" s="4" t="s">
        <v>15553</v>
      </c>
      <c r="L4885" s="5">
        <v>85302</v>
      </c>
    </row>
    <row r="4886" spans="1:12" x14ac:dyDescent="0.25">
      <c r="A4886" s="3" t="s">
        <v>15172</v>
      </c>
      <c r="B4886" s="4" t="s">
        <v>15173</v>
      </c>
      <c r="C4886" s="4" t="s">
        <v>14</v>
      </c>
      <c r="D4886" s="4" t="s">
        <v>15</v>
      </c>
      <c r="E4886" s="5" t="str">
        <f>"9100014"</f>
        <v>9100014</v>
      </c>
      <c r="F4886" s="3" t="s">
        <v>15554</v>
      </c>
      <c r="G4886" s="5">
        <v>2242051300</v>
      </c>
      <c r="H4886" s="4" t="s">
        <v>15555</v>
      </c>
      <c r="I4886" s="4" t="s">
        <v>15230</v>
      </c>
      <c r="J4886" s="4" t="s">
        <v>15231</v>
      </c>
      <c r="K4886" s="4" t="s">
        <v>15556</v>
      </c>
      <c r="L4886" s="5">
        <v>85302</v>
      </c>
    </row>
    <row r="4887" spans="1:12" x14ac:dyDescent="0.25">
      <c r="A4887" s="3" t="s">
        <v>15172</v>
      </c>
      <c r="B4887" s="4" t="s">
        <v>15173</v>
      </c>
      <c r="C4887" s="4" t="s">
        <v>14</v>
      </c>
      <c r="D4887" s="4" t="s">
        <v>15</v>
      </c>
      <c r="E4887" s="5" t="str">
        <f>"9100012"</f>
        <v>9100012</v>
      </c>
      <c r="F4887" s="3" t="s">
        <v>15557</v>
      </c>
      <c r="G4887" s="5">
        <v>2242031266</v>
      </c>
      <c r="H4887" s="4" t="s">
        <v>15558</v>
      </c>
      <c r="I4887" s="4" t="s">
        <v>15559</v>
      </c>
      <c r="J4887" s="4" t="s">
        <v>15560</v>
      </c>
      <c r="K4887" s="4" t="s">
        <v>15560</v>
      </c>
      <c r="L4887" s="5">
        <v>85303</v>
      </c>
    </row>
    <row r="4888" spans="1:12" x14ac:dyDescent="0.25">
      <c r="A4888" s="3" t="s">
        <v>15172</v>
      </c>
      <c r="B4888" s="4" t="s">
        <v>15173</v>
      </c>
      <c r="C4888" s="4" t="s">
        <v>14</v>
      </c>
      <c r="D4888" s="4" t="s">
        <v>15</v>
      </c>
      <c r="E4888" s="5" t="str">
        <f>"9100023"</f>
        <v>9100023</v>
      </c>
      <c r="F4888" s="3" t="s">
        <v>15561</v>
      </c>
      <c r="G4888" s="5">
        <v>2242049206</v>
      </c>
      <c r="H4888" s="4" t="s">
        <v>15562</v>
      </c>
      <c r="I4888" s="4" t="s">
        <v>15230</v>
      </c>
      <c r="J4888" s="4" t="s">
        <v>15437</v>
      </c>
      <c r="K4888" s="4" t="s">
        <v>15437</v>
      </c>
      <c r="L4888" s="5">
        <v>85301</v>
      </c>
    </row>
    <row r="4889" spans="1:12" x14ac:dyDescent="0.25">
      <c r="A4889" s="3" t="s">
        <v>15172</v>
      </c>
      <c r="B4889" s="4" t="s">
        <v>15173</v>
      </c>
      <c r="C4889" s="4" t="s">
        <v>25</v>
      </c>
      <c r="D4889" s="4" t="s">
        <v>26</v>
      </c>
      <c r="E4889" s="5" t="str">
        <f>"9100200"</f>
        <v>9100200</v>
      </c>
      <c r="F4889" s="3" t="s">
        <v>15563</v>
      </c>
      <c r="G4889" s="5">
        <v>2242023864</v>
      </c>
      <c r="H4889" s="4" t="s">
        <v>15564</v>
      </c>
      <c r="I4889" s="4" t="s">
        <v>15230</v>
      </c>
      <c r="J4889" s="4" t="s">
        <v>15231</v>
      </c>
      <c r="K4889" s="4" t="s">
        <v>15565</v>
      </c>
      <c r="L4889" s="5">
        <v>85300</v>
      </c>
    </row>
    <row r="4890" spans="1:12" x14ac:dyDescent="0.25">
      <c r="A4890" s="3" t="s">
        <v>15172</v>
      </c>
      <c r="B4890" s="4" t="s">
        <v>15173</v>
      </c>
      <c r="C4890" s="4" t="s">
        <v>14</v>
      </c>
      <c r="D4890" s="4" t="s">
        <v>15</v>
      </c>
      <c r="E4890" s="5" t="str">
        <f>"9100084"</f>
        <v>9100084</v>
      </c>
      <c r="F4890" s="3" t="s">
        <v>15566</v>
      </c>
      <c r="G4890" s="5">
        <v>2241041244</v>
      </c>
      <c r="H4890" s="4" t="s">
        <v>15567</v>
      </c>
      <c r="I4890" s="4" t="s">
        <v>15180</v>
      </c>
      <c r="J4890" s="4"/>
      <c r="K4890" s="4" t="s">
        <v>15568</v>
      </c>
      <c r="L4890" s="5">
        <v>85106</v>
      </c>
    </row>
    <row r="4891" spans="1:12" x14ac:dyDescent="0.25">
      <c r="A4891" s="3" t="s">
        <v>15172</v>
      </c>
      <c r="B4891" s="4" t="s">
        <v>15173</v>
      </c>
      <c r="C4891" s="4" t="s">
        <v>14</v>
      </c>
      <c r="D4891" s="4" t="s">
        <v>179</v>
      </c>
      <c r="E4891" s="5" t="str">
        <f>"9100277"</f>
        <v>9100277</v>
      </c>
      <c r="F4891" s="3" t="s">
        <v>15569</v>
      </c>
      <c r="G4891" s="5">
        <v>2246044201</v>
      </c>
      <c r="H4891" s="4" t="s">
        <v>15570</v>
      </c>
      <c r="I4891" s="4" t="s">
        <v>15571</v>
      </c>
      <c r="J4891" s="4" t="s">
        <v>15572</v>
      </c>
      <c r="K4891" s="4" t="s">
        <v>15572</v>
      </c>
      <c r="L4891" s="5">
        <v>85002</v>
      </c>
    </row>
    <row r="4892" spans="1:12" x14ac:dyDescent="0.25">
      <c r="A4892" s="3" t="s">
        <v>15172</v>
      </c>
      <c r="B4892" s="4" t="s">
        <v>15173</v>
      </c>
      <c r="C4892" s="4" t="s">
        <v>25</v>
      </c>
      <c r="D4892" s="4" t="s">
        <v>26</v>
      </c>
      <c r="E4892" s="5" t="str">
        <f>"9520676"</f>
        <v>9520676</v>
      </c>
      <c r="F4892" s="3" t="s">
        <v>15573</v>
      </c>
      <c r="G4892" s="5">
        <v>2242023153</v>
      </c>
      <c r="H4892" s="4" t="s">
        <v>15574</v>
      </c>
      <c r="I4892" s="4" t="s">
        <v>15230</v>
      </c>
      <c r="J4892" s="4" t="s">
        <v>15230</v>
      </c>
      <c r="K4892" s="4" t="s">
        <v>15575</v>
      </c>
      <c r="L4892" s="5">
        <v>85300</v>
      </c>
    </row>
    <row r="4893" spans="1:12" x14ac:dyDescent="0.25">
      <c r="A4893" s="3" t="s">
        <v>15172</v>
      </c>
      <c r="B4893" s="4" t="s">
        <v>15173</v>
      </c>
      <c r="C4893" s="4" t="s">
        <v>25</v>
      </c>
      <c r="D4893" s="4" t="s">
        <v>26</v>
      </c>
      <c r="E4893" s="5" t="str">
        <f>"9100119"</f>
        <v>9100119</v>
      </c>
      <c r="F4893" s="3" t="s">
        <v>15576</v>
      </c>
      <c r="G4893" s="5">
        <v>2244022997</v>
      </c>
      <c r="H4893" s="4" t="s">
        <v>15577</v>
      </c>
      <c r="I4893" s="4" t="s">
        <v>15180</v>
      </c>
      <c r="J4893" s="4" t="s">
        <v>15289</v>
      </c>
      <c r="K4893" s="4" t="s">
        <v>15290</v>
      </c>
      <c r="L4893" s="5">
        <v>85102</v>
      </c>
    </row>
    <row r="4894" spans="1:12" x14ac:dyDescent="0.25">
      <c r="A4894" s="3" t="s">
        <v>15172</v>
      </c>
      <c r="B4894" s="4" t="s">
        <v>15173</v>
      </c>
      <c r="C4894" s="4" t="s">
        <v>25</v>
      </c>
      <c r="D4894" s="4" t="s">
        <v>26</v>
      </c>
      <c r="E4894" s="5" t="str">
        <f>"9100232"</f>
        <v>9100232</v>
      </c>
      <c r="F4894" s="3" t="s">
        <v>15578</v>
      </c>
      <c r="G4894" s="5">
        <v>2241051690</v>
      </c>
      <c r="H4894" s="4" t="s">
        <v>15579</v>
      </c>
      <c r="I4894" s="4" t="s">
        <v>15180</v>
      </c>
      <c r="J4894" s="4" t="s">
        <v>15580</v>
      </c>
      <c r="K4894" s="4" t="s">
        <v>15581</v>
      </c>
      <c r="L4894" s="5">
        <v>85103</v>
      </c>
    </row>
    <row r="4895" spans="1:12" x14ac:dyDescent="0.25">
      <c r="A4895" s="3" t="s">
        <v>15172</v>
      </c>
      <c r="B4895" s="4" t="s">
        <v>15173</v>
      </c>
      <c r="C4895" s="4" t="s">
        <v>25</v>
      </c>
      <c r="D4895" s="4" t="s">
        <v>26</v>
      </c>
      <c r="E4895" s="5" t="str">
        <f>"9100248"</f>
        <v>9100248</v>
      </c>
      <c r="F4895" s="3" t="s">
        <v>15582</v>
      </c>
      <c r="G4895" s="5">
        <v>2244043710</v>
      </c>
      <c r="H4895" s="4" t="s">
        <v>15583</v>
      </c>
      <c r="I4895" s="4" t="s">
        <v>15180</v>
      </c>
      <c r="J4895" s="4"/>
      <c r="K4895" s="4" t="s">
        <v>15584</v>
      </c>
      <c r="L4895" s="5">
        <v>85109</v>
      </c>
    </row>
    <row r="4896" spans="1:12" x14ac:dyDescent="0.25">
      <c r="A4896" s="3" t="s">
        <v>15172</v>
      </c>
      <c r="B4896" s="4" t="s">
        <v>15173</v>
      </c>
      <c r="C4896" s="4" t="s">
        <v>25</v>
      </c>
      <c r="D4896" s="4" t="s">
        <v>26</v>
      </c>
      <c r="E4896" s="5" t="str">
        <f>"9100266"</f>
        <v>9100266</v>
      </c>
      <c r="F4896" s="3" t="s">
        <v>15585</v>
      </c>
      <c r="G4896" s="5">
        <v>2241096807</v>
      </c>
      <c r="H4896" s="4" t="s">
        <v>15586</v>
      </c>
      <c r="I4896" s="4" t="s">
        <v>15180</v>
      </c>
      <c r="J4896" s="4" t="s">
        <v>15432</v>
      </c>
      <c r="K4896" s="4" t="s">
        <v>15587</v>
      </c>
      <c r="L4896" s="5">
        <v>85101</v>
      </c>
    </row>
    <row r="4897" spans="1:12" x14ac:dyDescent="0.25">
      <c r="A4897" s="3" t="s">
        <v>15172</v>
      </c>
      <c r="B4897" s="4" t="s">
        <v>15173</v>
      </c>
      <c r="C4897" s="4" t="s">
        <v>25</v>
      </c>
      <c r="D4897" s="4" t="s">
        <v>26</v>
      </c>
      <c r="E4897" s="5" t="str">
        <f>"9100185"</f>
        <v>9100185</v>
      </c>
      <c r="F4897" s="3" t="s">
        <v>15588</v>
      </c>
      <c r="G4897" s="5">
        <v>2241087520</v>
      </c>
      <c r="H4897" s="4" t="s">
        <v>15589</v>
      </c>
      <c r="I4897" s="4" t="s">
        <v>15180</v>
      </c>
      <c r="J4897" s="4" t="s">
        <v>15590</v>
      </c>
      <c r="K4897" s="4" t="s">
        <v>15591</v>
      </c>
      <c r="L4897" s="5">
        <v>85105</v>
      </c>
    </row>
    <row r="4898" spans="1:12" x14ac:dyDescent="0.25">
      <c r="A4898" s="3" t="s">
        <v>15172</v>
      </c>
      <c r="B4898" s="4" t="s">
        <v>15173</v>
      </c>
      <c r="C4898" s="4" t="s">
        <v>25</v>
      </c>
      <c r="D4898" s="4" t="s">
        <v>26</v>
      </c>
      <c r="E4898" s="5" t="str">
        <f>"9520797"</f>
        <v>9520797</v>
      </c>
      <c r="F4898" s="3" t="s">
        <v>15592</v>
      </c>
      <c r="G4898" s="5">
        <v>2241086401</v>
      </c>
      <c r="H4898" s="4" t="s">
        <v>15593</v>
      </c>
      <c r="I4898" s="4" t="s">
        <v>15180</v>
      </c>
      <c r="J4898" s="4" t="s">
        <v>15591</v>
      </c>
      <c r="K4898" s="4" t="s">
        <v>15591</v>
      </c>
      <c r="L4898" s="5">
        <v>85105</v>
      </c>
    </row>
    <row r="4899" spans="1:12" x14ac:dyDescent="0.25">
      <c r="A4899" s="3" t="s">
        <v>15172</v>
      </c>
      <c r="B4899" s="4" t="s">
        <v>15173</v>
      </c>
      <c r="C4899" s="4" t="s">
        <v>25</v>
      </c>
      <c r="D4899" s="4" t="s">
        <v>26</v>
      </c>
      <c r="E4899" s="5" t="str">
        <f>"9100091"</f>
        <v>9100091</v>
      </c>
      <c r="F4899" s="3" t="s">
        <v>15594</v>
      </c>
      <c r="G4899" s="5">
        <v>2245022723</v>
      </c>
      <c r="H4899" s="4" t="s">
        <v>15595</v>
      </c>
      <c r="I4899" s="4" t="s">
        <v>15514</v>
      </c>
      <c r="J4899" s="4" t="s">
        <v>15515</v>
      </c>
      <c r="K4899" s="4" t="s">
        <v>15596</v>
      </c>
      <c r="L4899" s="5">
        <v>85700</v>
      </c>
    </row>
    <row r="4900" spans="1:12" x14ac:dyDescent="0.25">
      <c r="A4900" s="3" t="s">
        <v>15172</v>
      </c>
      <c r="B4900" s="4" t="s">
        <v>15173</v>
      </c>
      <c r="C4900" s="4" t="s">
        <v>25</v>
      </c>
      <c r="D4900" s="4" t="s">
        <v>26</v>
      </c>
      <c r="E4900" s="5" t="str">
        <f>"9100276"</f>
        <v>9100276</v>
      </c>
      <c r="F4900" s="3" t="s">
        <v>15597</v>
      </c>
      <c r="G4900" s="5">
        <v>2245022673</v>
      </c>
      <c r="H4900" s="4" t="s">
        <v>15598</v>
      </c>
      <c r="I4900" s="4" t="s">
        <v>15514</v>
      </c>
      <c r="J4900" s="4" t="s">
        <v>15515</v>
      </c>
      <c r="K4900" s="4" t="s">
        <v>15596</v>
      </c>
      <c r="L4900" s="5">
        <v>85700</v>
      </c>
    </row>
    <row r="4901" spans="1:12" ht="30" x14ac:dyDescent="0.25">
      <c r="A4901" s="3" t="s">
        <v>15172</v>
      </c>
      <c r="B4901" s="4" t="s">
        <v>15173</v>
      </c>
      <c r="C4901" s="4" t="s">
        <v>25</v>
      </c>
      <c r="D4901" s="4" t="s">
        <v>26</v>
      </c>
      <c r="E4901" s="5" t="str">
        <f>"9100199"</f>
        <v>9100199</v>
      </c>
      <c r="F4901" s="3" t="s">
        <v>15599</v>
      </c>
      <c r="G4901" s="5">
        <v>2241360759</v>
      </c>
      <c r="H4901" s="4" t="s">
        <v>15600</v>
      </c>
      <c r="I4901" s="4" t="s">
        <v>15180</v>
      </c>
      <c r="J4901" s="4" t="s">
        <v>15511</v>
      </c>
      <c r="K4901" s="4" t="s">
        <v>15601</v>
      </c>
      <c r="L4901" s="5">
        <v>85100</v>
      </c>
    </row>
    <row r="4902" spans="1:12" ht="30" x14ac:dyDescent="0.25">
      <c r="A4902" s="3" t="s">
        <v>15172</v>
      </c>
      <c r="B4902" s="4" t="s">
        <v>15173</v>
      </c>
      <c r="C4902" s="4" t="s">
        <v>25</v>
      </c>
      <c r="D4902" s="4" t="s">
        <v>26</v>
      </c>
      <c r="E4902" s="5" t="str">
        <f>"9520572"</f>
        <v>9520572</v>
      </c>
      <c r="F4902" s="3" t="s">
        <v>15602</v>
      </c>
      <c r="G4902" s="5">
        <v>2241063720</v>
      </c>
      <c r="H4902" s="4" t="s">
        <v>15603</v>
      </c>
      <c r="I4902" s="4" t="s">
        <v>15180</v>
      </c>
      <c r="J4902" s="4" t="s">
        <v>15511</v>
      </c>
      <c r="K4902" s="4" t="s">
        <v>15601</v>
      </c>
      <c r="L4902" s="5">
        <v>85100</v>
      </c>
    </row>
    <row r="4903" spans="1:12" x14ac:dyDescent="0.25">
      <c r="A4903" s="3" t="s">
        <v>15172</v>
      </c>
      <c r="B4903" s="4" t="s">
        <v>15173</v>
      </c>
      <c r="C4903" s="4" t="s">
        <v>25</v>
      </c>
      <c r="D4903" s="4" t="s">
        <v>26</v>
      </c>
      <c r="E4903" s="5" t="str">
        <f>"9100070"</f>
        <v>9100070</v>
      </c>
      <c r="F4903" s="3" t="s">
        <v>15604</v>
      </c>
      <c r="G4903" s="5">
        <v>2241092999</v>
      </c>
      <c r="H4903" s="4" t="s">
        <v>15605</v>
      </c>
      <c r="I4903" s="4" t="s">
        <v>15180</v>
      </c>
      <c r="J4903" s="4" t="s">
        <v>15492</v>
      </c>
      <c r="K4903" s="4" t="s">
        <v>15606</v>
      </c>
      <c r="L4903" s="5">
        <v>85104</v>
      </c>
    </row>
    <row r="4904" spans="1:12" x14ac:dyDescent="0.25">
      <c r="A4904" s="3" t="s">
        <v>15172</v>
      </c>
      <c r="B4904" s="4" t="s">
        <v>15173</v>
      </c>
      <c r="C4904" s="4" t="s">
        <v>25</v>
      </c>
      <c r="D4904" s="4" t="s">
        <v>26</v>
      </c>
      <c r="E4904" s="5" t="str">
        <f>"9520675"</f>
        <v>9520675</v>
      </c>
      <c r="F4904" s="3" t="s">
        <v>15607</v>
      </c>
      <c r="G4904" s="5">
        <v>2241090760</v>
      </c>
      <c r="H4904" s="4" t="s">
        <v>15608</v>
      </c>
      <c r="I4904" s="4" t="s">
        <v>15180</v>
      </c>
      <c r="J4904" s="4" t="s">
        <v>15492</v>
      </c>
      <c r="K4904" s="4" t="s">
        <v>15606</v>
      </c>
      <c r="L4904" s="5">
        <v>85104</v>
      </c>
    </row>
    <row r="4905" spans="1:12" x14ac:dyDescent="0.25">
      <c r="A4905" s="3" t="s">
        <v>15172</v>
      </c>
      <c r="B4905" s="4" t="s">
        <v>15173</v>
      </c>
      <c r="C4905" s="4" t="s">
        <v>25</v>
      </c>
      <c r="D4905" s="4" t="s">
        <v>26</v>
      </c>
      <c r="E4905" s="5" t="str">
        <f>"9100194"</f>
        <v>9100194</v>
      </c>
      <c r="F4905" s="3" t="s">
        <v>15609</v>
      </c>
      <c r="G4905" s="5">
        <v>2241047650</v>
      </c>
      <c r="H4905" s="4" t="s">
        <v>15610</v>
      </c>
      <c r="I4905" s="4" t="s">
        <v>15180</v>
      </c>
      <c r="J4905" s="4" t="s">
        <v>15611</v>
      </c>
      <c r="K4905" s="4" t="s">
        <v>15611</v>
      </c>
      <c r="L4905" s="5">
        <v>85101</v>
      </c>
    </row>
    <row r="4906" spans="1:12" x14ac:dyDescent="0.25">
      <c r="A4906" s="3" t="s">
        <v>15172</v>
      </c>
      <c r="B4906" s="4" t="s">
        <v>15173</v>
      </c>
      <c r="C4906" s="4" t="s">
        <v>14</v>
      </c>
      <c r="D4906" s="4" t="s">
        <v>15</v>
      </c>
      <c r="E4906" s="5" t="str">
        <f>"9100079"</f>
        <v>9100079</v>
      </c>
      <c r="F4906" s="3" t="s">
        <v>15612</v>
      </c>
      <c r="G4906" s="5">
        <v>2241047101</v>
      </c>
      <c r="H4906" s="4" t="s">
        <v>15613</v>
      </c>
      <c r="I4906" s="4" t="s">
        <v>15180</v>
      </c>
      <c r="J4906" s="4" t="s">
        <v>15614</v>
      </c>
      <c r="K4906" s="4" t="s">
        <v>15611</v>
      </c>
      <c r="L4906" s="5">
        <v>85101</v>
      </c>
    </row>
    <row r="4907" spans="1:12" ht="30" x14ac:dyDescent="0.25">
      <c r="A4907" s="3" t="s">
        <v>15172</v>
      </c>
      <c r="B4907" s="4" t="s">
        <v>15173</v>
      </c>
      <c r="C4907" s="4" t="s">
        <v>14</v>
      </c>
      <c r="D4907" s="4" t="s">
        <v>452</v>
      </c>
      <c r="E4907" s="5" t="str">
        <f>"9100203"</f>
        <v>9100203</v>
      </c>
      <c r="F4907" s="3" t="s">
        <v>15615</v>
      </c>
      <c r="G4907" s="5">
        <v>2241030985</v>
      </c>
      <c r="H4907" s="4" t="s">
        <v>15616</v>
      </c>
      <c r="I4907" s="4" t="s">
        <v>15180</v>
      </c>
      <c r="J4907" s="4" t="s">
        <v>15185</v>
      </c>
      <c r="K4907" s="4" t="s">
        <v>15617</v>
      </c>
      <c r="L4907" s="5">
        <v>85100</v>
      </c>
    </row>
    <row r="4908" spans="1:12" ht="45" x14ac:dyDescent="0.25">
      <c r="A4908" s="3" t="s">
        <v>15172</v>
      </c>
      <c r="B4908" s="4" t="s">
        <v>15173</v>
      </c>
      <c r="C4908" s="4" t="s">
        <v>14</v>
      </c>
      <c r="D4908" s="4" t="s">
        <v>452</v>
      </c>
      <c r="E4908" s="5" t="str">
        <f>"9100040"</f>
        <v>9100040</v>
      </c>
      <c r="F4908" s="3" t="s">
        <v>15618</v>
      </c>
      <c r="G4908" s="5">
        <v>2241024906</v>
      </c>
      <c r="H4908" s="4" t="s">
        <v>15619</v>
      </c>
      <c r="I4908" s="4" t="s">
        <v>15180</v>
      </c>
      <c r="J4908" s="4" t="s">
        <v>15185</v>
      </c>
      <c r="K4908" s="4" t="s">
        <v>15620</v>
      </c>
      <c r="L4908" s="5">
        <v>85131</v>
      </c>
    </row>
    <row r="4909" spans="1:12" x14ac:dyDescent="0.25">
      <c r="A4909" s="3" t="s">
        <v>15172</v>
      </c>
      <c r="B4909" s="4" t="s">
        <v>15173</v>
      </c>
      <c r="C4909" s="4" t="s">
        <v>14</v>
      </c>
      <c r="D4909" s="4" t="s">
        <v>15</v>
      </c>
      <c r="E4909" s="5" t="str">
        <f>"9100045"</f>
        <v>9100045</v>
      </c>
      <c r="F4909" s="3" t="s">
        <v>15621</v>
      </c>
      <c r="G4909" s="5">
        <v>2241021223</v>
      </c>
      <c r="H4909" s="4" t="s">
        <v>15622</v>
      </c>
      <c r="I4909" s="4" t="s">
        <v>15180</v>
      </c>
      <c r="J4909" s="4" t="s">
        <v>15185</v>
      </c>
      <c r="K4909" s="4" t="s">
        <v>15623</v>
      </c>
      <c r="L4909" s="5">
        <v>85132</v>
      </c>
    </row>
    <row r="4910" spans="1:12" x14ac:dyDescent="0.25">
      <c r="A4910" s="3" t="s">
        <v>15172</v>
      </c>
      <c r="B4910" s="4" t="s">
        <v>15173</v>
      </c>
      <c r="C4910" s="4" t="s">
        <v>14</v>
      </c>
      <c r="D4910" s="4" t="s">
        <v>15</v>
      </c>
      <c r="E4910" s="5" t="str">
        <f>"9521608"</f>
        <v>9521608</v>
      </c>
      <c r="F4910" s="3" t="s">
        <v>15624</v>
      </c>
      <c r="G4910" s="5">
        <v>2241002510</v>
      </c>
      <c r="H4910" s="4" t="s">
        <v>15625</v>
      </c>
      <c r="I4910" s="4" t="s">
        <v>15180</v>
      </c>
      <c r="J4910" s="4" t="s">
        <v>15626</v>
      </c>
      <c r="K4910" s="4" t="s">
        <v>15627</v>
      </c>
      <c r="L4910" s="5">
        <v>85105</v>
      </c>
    </row>
    <row r="4911" spans="1:12" x14ac:dyDescent="0.25">
      <c r="A4911" s="3" t="s">
        <v>15172</v>
      </c>
      <c r="B4911" s="4" t="s">
        <v>15173</v>
      </c>
      <c r="C4911" s="4" t="s">
        <v>14</v>
      </c>
      <c r="D4911" s="4" t="s">
        <v>15</v>
      </c>
      <c r="E4911" s="5" t="str">
        <f>"9101000"</f>
        <v>9101000</v>
      </c>
      <c r="F4911" s="3" t="s">
        <v>15628</v>
      </c>
      <c r="G4911" s="5">
        <v>2241071454</v>
      </c>
      <c r="H4911" s="4" t="s">
        <v>15629</v>
      </c>
      <c r="I4911" s="4" t="s">
        <v>15180</v>
      </c>
      <c r="J4911" s="4" t="s">
        <v>15630</v>
      </c>
      <c r="K4911" s="4" t="s">
        <v>15631</v>
      </c>
      <c r="L4911" s="5">
        <v>85104</v>
      </c>
    </row>
    <row r="4912" spans="1:12" x14ac:dyDescent="0.25">
      <c r="A4912" s="3" t="s">
        <v>15172</v>
      </c>
      <c r="B4912" s="4" t="s">
        <v>15632</v>
      </c>
      <c r="C4912" s="4" t="s">
        <v>14</v>
      </c>
      <c r="D4912" s="4" t="s">
        <v>15</v>
      </c>
      <c r="E4912" s="5" t="str">
        <f>"9290076"</f>
        <v>9290076</v>
      </c>
      <c r="F4912" s="3" t="s">
        <v>15633</v>
      </c>
      <c r="G4912" s="5">
        <v>2284041454</v>
      </c>
      <c r="H4912" s="4" t="s">
        <v>15634</v>
      </c>
      <c r="I4912" s="4" t="s">
        <v>15635</v>
      </c>
      <c r="J4912" s="4" t="s">
        <v>15636</v>
      </c>
      <c r="K4912" s="4" t="s">
        <v>15636</v>
      </c>
      <c r="L4912" s="5">
        <v>84400</v>
      </c>
    </row>
    <row r="4913" spans="1:12" x14ac:dyDescent="0.25">
      <c r="A4913" s="3" t="s">
        <v>15172</v>
      </c>
      <c r="B4913" s="4" t="s">
        <v>15632</v>
      </c>
      <c r="C4913" s="4" t="s">
        <v>25</v>
      </c>
      <c r="D4913" s="4" t="s">
        <v>26</v>
      </c>
      <c r="E4913" s="5" t="str">
        <f>"9290038"</f>
        <v>9290038</v>
      </c>
      <c r="F4913" s="3" t="s">
        <v>15637</v>
      </c>
      <c r="G4913" s="5">
        <v>2285360009</v>
      </c>
      <c r="H4913" s="4" t="s">
        <v>15638</v>
      </c>
      <c r="I4913" s="4" t="s">
        <v>15639</v>
      </c>
      <c r="J4913" s="4" t="s">
        <v>15640</v>
      </c>
      <c r="K4913" s="4" t="s">
        <v>15641</v>
      </c>
      <c r="L4913" s="5">
        <v>84300</v>
      </c>
    </row>
    <row r="4914" spans="1:12" x14ac:dyDescent="0.25">
      <c r="A4914" s="3" t="s">
        <v>15172</v>
      </c>
      <c r="B4914" s="4" t="s">
        <v>15632</v>
      </c>
      <c r="C4914" s="4" t="s">
        <v>25</v>
      </c>
      <c r="D4914" s="4" t="s">
        <v>26</v>
      </c>
      <c r="E4914" s="5" t="str">
        <f>"9290195"</f>
        <v>9290195</v>
      </c>
      <c r="F4914" s="3" t="s">
        <v>15642</v>
      </c>
      <c r="G4914" s="5">
        <v>2285041135</v>
      </c>
      <c r="H4914" s="4" t="s">
        <v>15643</v>
      </c>
      <c r="I4914" s="4" t="s">
        <v>15639</v>
      </c>
      <c r="J4914" s="4" t="s">
        <v>15644</v>
      </c>
      <c r="K4914" s="4" t="s">
        <v>15645</v>
      </c>
      <c r="L4914" s="5">
        <v>84300</v>
      </c>
    </row>
    <row r="4915" spans="1:12" x14ac:dyDescent="0.25">
      <c r="A4915" s="3" t="s">
        <v>15172</v>
      </c>
      <c r="B4915" s="4" t="s">
        <v>15632</v>
      </c>
      <c r="C4915" s="4" t="s">
        <v>14</v>
      </c>
      <c r="D4915" s="4" t="s">
        <v>15</v>
      </c>
      <c r="E4915" s="5" t="str">
        <f>"9290132"</f>
        <v>9290132</v>
      </c>
      <c r="F4915" s="3" t="s">
        <v>15646</v>
      </c>
      <c r="G4915" s="5">
        <v>2281088545</v>
      </c>
      <c r="H4915" s="4" t="s">
        <v>15647</v>
      </c>
      <c r="I4915" s="4" t="s">
        <v>15648</v>
      </c>
      <c r="J4915" s="4" t="s">
        <v>15649</v>
      </c>
      <c r="K4915" s="4" t="s">
        <v>15650</v>
      </c>
      <c r="L4915" s="5">
        <v>84100</v>
      </c>
    </row>
    <row r="4916" spans="1:12" x14ac:dyDescent="0.25">
      <c r="A4916" s="3" t="s">
        <v>15172</v>
      </c>
      <c r="B4916" s="4" t="s">
        <v>15632</v>
      </c>
      <c r="C4916" s="4" t="s">
        <v>14</v>
      </c>
      <c r="D4916" s="4" t="s">
        <v>15</v>
      </c>
      <c r="E4916" s="5" t="str">
        <f>"9290169"</f>
        <v>9290169</v>
      </c>
      <c r="F4916" s="3" t="s">
        <v>15651</v>
      </c>
      <c r="G4916" s="5">
        <v>2287021346</v>
      </c>
      <c r="H4916" s="4" t="s">
        <v>15652</v>
      </c>
      <c r="I4916" s="4" t="s">
        <v>15653</v>
      </c>
      <c r="J4916" s="4" t="s">
        <v>15654</v>
      </c>
      <c r="K4916" s="4" t="s">
        <v>15655</v>
      </c>
      <c r="L4916" s="5">
        <v>84800</v>
      </c>
    </row>
    <row r="4917" spans="1:12" x14ac:dyDescent="0.25">
      <c r="A4917" s="3" t="s">
        <v>15172</v>
      </c>
      <c r="B4917" s="4" t="s">
        <v>15632</v>
      </c>
      <c r="C4917" s="4" t="s">
        <v>25</v>
      </c>
      <c r="D4917" s="4" t="s">
        <v>26</v>
      </c>
      <c r="E4917" s="5" t="str">
        <f>"9290146"</f>
        <v>9290146</v>
      </c>
      <c r="F4917" s="3" t="s">
        <v>15656</v>
      </c>
      <c r="G4917" s="5">
        <v>2283023235</v>
      </c>
      <c r="H4917" s="4" t="s">
        <v>15657</v>
      </c>
      <c r="I4917" s="4" t="s">
        <v>15658</v>
      </c>
      <c r="J4917" s="4" t="s">
        <v>15658</v>
      </c>
      <c r="K4917" s="4" t="s">
        <v>15659</v>
      </c>
      <c r="L4917" s="5">
        <v>84200</v>
      </c>
    </row>
    <row r="4918" spans="1:12" x14ac:dyDescent="0.25">
      <c r="A4918" s="3" t="s">
        <v>15172</v>
      </c>
      <c r="B4918" s="4" t="s">
        <v>15632</v>
      </c>
      <c r="C4918" s="4" t="s">
        <v>25</v>
      </c>
      <c r="D4918" s="4" t="s">
        <v>26</v>
      </c>
      <c r="E4918" s="5" t="str">
        <f>"9290193"</f>
        <v>9290193</v>
      </c>
      <c r="F4918" s="3" t="s">
        <v>15660</v>
      </c>
      <c r="G4918" s="5">
        <v>2283024116</v>
      </c>
      <c r="H4918" s="4" t="s">
        <v>15661</v>
      </c>
      <c r="I4918" s="4" t="s">
        <v>15658</v>
      </c>
      <c r="J4918" s="4" t="s">
        <v>15658</v>
      </c>
      <c r="K4918" s="4" t="s">
        <v>15659</v>
      </c>
      <c r="L4918" s="5">
        <v>84200</v>
      </c>
    </row>
    <row r="4919" spans="1:12" x14ac:dyDescent="0.25">
      <c r="A4919" s="3" t="s">
        <v>15172</v>
      </c>
      <c r="B4919" s="4" t="s">
        <v>15632</v>
      </c>
      <c r="C4919" s="4" t="s">
        <v>14</v>
      </c>
      <c r="D4919" s="4" t="s">
        <v>15</v>
      </c>
      <c r="E4919" s="5" t="str">
        <f>"9290171"</f>
        <v>9290171</v>
      </c>
      <c r="F4919" s="3" t="s">
        <v>15662</v>
      </c>
      <c r="G4919" s="5">
        <v>2288022066</v>
      </c>
      <c r="H4919" s="4" t="s">
        <v>15663</v>
      </c>
      <c r="I4919" s="4" t="s">
        <v>15664</v>
      </c>
      <c r="J4919" s="4" t="s">
        <v>15665</v>
      </c>
      <c r="K4919" s="4" t="s">
        <v>15666</v>
      </c>
      <c r="L4919" s="5">
        <v>84002</v>
      </c>
    </row>
    <row r="4920" spans="1:12" x14ac:dyDescent="0.25">
      <c r="A4920" s="3" t="s">
        <v>15172</v>
      </c>
      <c r="B4920" s="4" t="s">
        <v>15632</v>
      </c>
      <c r="C4920" s="4" t="s">
        <v>14</v>
      </c>
      <c r="D4920" s="4" t="s">
        <v>15</v>
      </c>
      <c r="E4920" s="5" t="str">
        <f>"9290117"</f>
        <v>9290117</v>
      </c>
      <c r="F4920" s="3" t="s">
        <v>15667</v>
      </c>
      <c r="G4920" s="5">
        <v>2288021269</v>
      </c>
      <c r="H4920" s="4" t="s">
        <v>15668</v>
      </c>
      <c r="I4920" s="4" t="s">
        <v>15664</v>
      </c>
      <c r="J4920" s="4" t="s">
        <v>15669</v>
      </c>
      <c r="K4920" s="4" t="s">
        <v>15670</v>
      </c>
      <c r="L4920" s="5">
        <v>84002</v>
      </c>
    </row>
    <row r="4921" spans="1:12" x14ac:dyDescent="0.25">
      <c r="A4921" s="3" t="s">
        <v>15172</v>
      </c>
      <c r="B4921" s="4" t="s">
        <v>15632</v>
      </c>
      <c r="C4921" s="4" t="s">
        <v>14</v>
      </c>
      <c r="D4921" s="4" t="s">
        <v>15</v>
      </c>
      <c r="E4921" s="5" t="str">
        <f>"9290014"</f>
        <v>9290014</v>
      </c>
      <c r="F4921" s="3" t="s">
        <v>15671</v>
      </c>
      <c r="G4921" s="5">
        <v>2286031696</v>
      </c>
      <c r="H4921" s="4" t="s">
        <v>15672</v>
      </c>
      <c r="I4921" s="4" t="s">
        <v>15673</v>
      </c>
      <c r="J4921" s="4" t="s">
        <v>15674</v>
      </c>
      <c r="K4921" s="4" t="s">
        <v>15675</v>
      </c>
      <c r="L4921" s="5">
        <v>84700</v>
      </c>
    </row>
    <row r="4922" spans="1:12" x14ac:dyDescent="0.25">
      <c r="A4922" s="3" t="s">
        <v>15172</v>
      </c>
      <c r="B4922" s="4" t="s">
        <v>15632</v>
      </c>
      <c r="C4922" s="4" t="s">
        <v>14</v>
      </c>
      <c r="D4922" s="4" t="s">
        <v>15</v>
      </c>
      <c r="E4922" s="5" t="str">
        <f>"9290131"</f>
        <v>9290131</v>
      </c>
      <c r="F4922" s="3" t="s">
        <v>15676</v>
      </c>
      <c r="G4922" s="5">
        <v>2281082227</v>
      </c>
      <c r="H4922" s="4" t="s">
        <v>15677</v>
      </c>
      <c r="I4922" s="4" t="s">
        <v>15648</v>
      </c>
      <c r="J4922" s="4" t="s">
        <v>15649</v>
      </c>
      <c r="K4922" s="4" t="s">
        <v>15678</v>
      </c>
      <c r="L4922" s="5">
        <v>84100</v>
      </c>
    </row>
    <row r="4923" spans="1:12" x14ac:dyDescent="0.25">
      <c r="A4923" s="3" t="s">
        <v>15172</v>
      </c>
      <c r="B4923" s="4" t="s">
        <v>15632</v>
      </c>
      <c r="C4923" s="4" t="s">
        <v>14</v>
      </c>
      <c r="D4923" s="4" t="s">
        <v>15</v>
      </c>
      <c r="E4923" s="5" t="str">
        <f>"9290093"</f>
        <v>9290093</v>
      </c>
      <c r="F4923" s="3" t="s">
        <v>15679</v>
      </c>
      <c r="G4923" s="5">
        <v>2282071243</v>
      </c>
      <c r="H4923" s="4" t="s">
        <v>15680</v>
      </c>
      <c r="I4923" s="4" t="s">
        <v>15681</v>
      </c>
      <c r="J4923" s="4" t="s">
        <v>15682</v>
      </c>
      <c r="K4923" s="4" t="s">
        <v>15683</v>
      </c>
      <c r="L4923" s="5">
        <v>84501</v>
      </c>
    </row>
    <row r="4924" spans="1:12" x14ac:dyDescent="0.25">
      <c r="A4924" s="3" t="s">
        <v>15172</v>
      </c>
      <c r="B4924" s="4" t="s">
        <v>15632</v>
      </c>
      <c r="C4924" s="4" t="s">
        <v>14</v>
      </c>
      <c r="D4924" s="4" t="s">
        <v>15</v>
      </c>
      <c r="E4924" s="5" t="str">
        <f>"9290083"</f>
        <v>9290083</v>
      </c>
      <c r="F4924" s="3" t="s">
        <v>15684</v>
      </c>
      <c r="G4924" s="5">
        <v>2282022452</v>
      </c>
      <c r="H4924" s="4" t="s">
        <v>15685</v>
      </c>
      <c r="I4924" s="4" t="s">
        <v>15681</v>
      </c>
      <c r="J4924" s="4" t="s">
        <v>15686</v>
      </c>
      <c r="K4924" s="4" t="s">
        <v>15686</v>
      </c>
      <c r="L4924" s="5">
        <v>84500</v>
      </c>
    </row>
    <row r="4925" spans="1:12" x14ac:dyDescent="0.25">
      <c r="A4925" s="3" t="s">
        <v>15172</v>
      </c>
      <c r="B4925" s="4" t="s">
        <v>15632</v>
      </c>
      <c r="C4925" s="4" t="s">
        <v>25</v>
      </c>
      <c r="D4925" s="4" t="s">
        <v>26</v>
      </c>
      <c r="E4925" s="5" t="str">
        <f>"9520679"</f>
        <v>9520679</v>
      </c>
      <c r="F4925" s="3" t="s">
        <v>15687</v>
      </c>
      <c r="G4925" s="5">
        <v>2289027967</v>
      </c>
      <c r="H4925" s="4" t="s">
        <v>15688</v>
      </c>
      <c r="I4925" s="4" t="s">
        <v>15689</v>
      </c>
      <c r="J4925" s="4" t="s">
        <v>15690</v>
      </c>
      <c r="K4925" s="4" t="s">
        <v>15691</v>
      </c>
      <c r="L4925" s="5">
        <v>84600</v>
      </c>
    </row>
    <row r="4926" spans="1:12" x14ac:dyDescent="0.25">
      <c r="A4926" s="3" t="s">
        <v>15172</v>
      </c>
      <c r="B4926" s="4" t="s">
        <v>15632</v>
      </c>
      <c r="C4926" s="4" t="s">
        <v>14</v>
      </c>
      <c r="D4926" s="4" t="s">
        <v>15</v>
      </c>
      <c r="E4926" s="5" t="str">
        <f>"9290043"</f>
        <v>9290043</v>
      </c>
      <c r="F4926" s="3" t="s">
        <v>15692</v>
      </c>
      <c r="G4926" s="5">
        <v>2285360071</v>
      </c>
      <c r="H4926" s="4" t="s">
        <v>15693</v>
      </c>
      <c r="I4926" s="4" t="s">
        <v>15639</v>
      </c>
      <c r="J4926" s="4" t="s">
        <v>15694</v>
      </c>
      <c r="K4926" s="4" t="s">
        <v>15695</v>
      </c>
      <c r="L4926" s="5">
        <v>84300</v>
      </c>
    </row>
    <row r="4927" spans="1:12" x14ac:dyDescent="0.25">
      <c r="A4927" s="3" t="s">
        <v>15172</v>
      </c>
      <c r="B4927" s="4" t="s">
        <v>15632</v>
      </c>
      <c r="C4927" s="4" t="s">
        <v>14</v>
      </c>
      <c r="D4927" s="4" t="s">
        <v>15</v>
      </c>
      <c r="E4927" s="5" t="str">
        <f>"9290134"</f>
        <v>9290134</v>
      </c>
      <c r="F4927" s="3" t="s">
        <v>15696</v>
      </c>
      <c r="G4927" s="5">
        <v>2289022307</v>
      </c>
      <c r="H4927" s="4" t="s">
        <v>15697</v>
      </c>
      <c r="I4927" s="4" t="s">
        <v>15689</v>
      </c>
      <c r="J4927" s="4" t="s">
        <v>15698</v>
      </c>
      <c r="K4927" s="4" t="s">
        <v>15699</v>
      </c>
      <c r="L4927" s="5">
        <v>84600</v>
      </c>
    </row>
    <row r="4928" spans="1:12" x14ac:dyDescent="0.25">
      <c r="A4928" s="3" t="s">
        <v>15172</v>
      </c>
      <c r="B4928" s="4" t="s">
        <v>15632</v>
      </c>
      <c r="C4928" s="4" t="s">
        <v>14</v>
      </c>
      <c r="D4928" s="4" t="s">
        <v>15</v>
      </c>
      <c r="E4928" s="5" t="str">
        <f>"9290104"</f>
        <v>9290104</v>
      </c>
      <c r="F4928" s="3" t="s">
        <v>15700</v>
      </c>
      <c r="G4928" s="5">
        <v>2282022129</v>
      </c>
      <c r="H4928" s="4" t="s">
        <v>15701</v>
      </c>
      <c r="I4928" s="4" t="s">
        <v>15681</v>
      </c>
      <c r="J4928" s="4" t="s">
        <v>15702</v>
      </c>
      <c r="K4928" s="4" t="s">
        <v>15703</v>
      </c>
      <c r="L4928" s="5">
        <v>84500</v>
      </c>
    </row>
    <row r="4929" spans="1:12" x14ac:dyDescent="0.25">
      <c r="A4929" s="3" t="s">
        <v>15172</v>
      </c>
      <c r="B4929" s="4" t="s">
        <v>15632</v>
      </c>
      <c r="C4929" s="4" t="s">
        <v>14</v>
      </c>
      <c r="D4929" s="4" t="s">
        <v>15</v>
      </c>
      <c r="E4929" s="5" t="str">
        <f>"9290167"</f>
        <v>9290167</v>
      </c>
      <c r="F4929" s="3" t="s">
        <v>15704</v>
      </c>
      <c r="G4929" s="5">
        <v>2284031297</v>
      </c>
      <c r="H4929" s="4" t="s">
        <v>15705</v>
      </c>
      <c r="I4929" s="4" t="s">
        <v>15706</v>
      </c>
      <c r="J4929" s="4" t="s">
        <v>15707</v>
      </c>
      <c r="K4929" s="4" t="s">
        <v>15708</v>
      </c>
      <c r="L4929" s="5">
        <v>84003</v>
      </c>
    </row>
    <row r="4930" spans="1:12" x14ac:dyDescent="0.25">
      <c r="A4930" s="3" t="s">
        <v>15172</v>
      </c>
      <c r="B4930" s="4" t="s">
        <v>15632</v>
      </c>
      <c r="C4930" s="4" t="s">
        <v>14</v>
      </c>
      <c r="D4930" s="4" t="s">
        <v>15</v>
      </c>
      <c r="E4930" s="5" t="str">
        <f>"9290127"</f>
        <v>9290127</v>
      </c>
      <c r="F4930" s="3" t="s">
        <v>15709</v>
      </c>
      <c r="G4930" s="5">
        <v>2281088648</v>
      </c>
      <c r="H4930" s="4" t="s">
        <v>15710</v>
      </c>
      <c r="I4930" s="4" t="s">
        <v>15648</v>
      </c>
      <c r="J4930" s="4" t="s">
        <v>15649</v>
      </c>
      <c r="K4930" s="4" t="s">
        <v>15711</v>
      </c>
      <c r="L4930" s="5">
        <v>84100</v>
      </c>
    </row>
    <row r="4931" spans="1:12" x14ac:dyDescent="0.25">
      <c r="A4931" s="3" t="s">
        <v>15172</v>
      </c>
      <c r="B4931" s="4" t="s">
        <v>15632</v>
      </c>
      <c r="C4931" s="4" t="s">
        <v>14</v>
      </c>
      <c r="D4931" s="4" t="s">
        <v>15</v>
      </c>
      <c r="E4931" s="5" t="str">
        <f>"9290266"</f>
        <v>9290266</v>
      </c>
      <c r="F4931" s="3" t="s">
        <v>15712</v>
      </c>
      <c r="G4931" s="5">
        <v>2289029469</v>
      </c>
      <c r="H4931" s="4" t="s">
        <v>15713</v>
      </c>
      <c r="I4931" s="4" t="s">
        <v>15689</v>
      </c>
      <c r="J4931" s="4" t="s">
        <v>15714</v>
      </c>
      <c r="K4931" s="4" t="s">
        <v>15715</v>
      </c>
      <c r="L4931" s="5">
        <v>84600</v>
      </c>
    </row>
    <row r="4932" spans="1:12" ht="30" x14ac:dyDescent="0.25">
      <c r="A4932" s="3" t="s">
        <v>15172</v>
      </c>
      <c r="B4932" s="4" t="s">
        <v>15632</v>
      </c>
      <c r="C4932" s="4" t="s">
        <v>14</v>
      </c>
      <c r="D4932" s="4" t="s">
        <v>830</v>
      </c>
      <c r="E4932" s="5" t="str">
        <f>"9290129"</f>
        <v>9290129</v>
      </c>
      <c r="F4932" s="3" t="s">
        <v>15716</v>
      </c>
      <c r="G4932" s="5">
        <v>2281082241</v>
      </c>
      <c r="H4932" s="4" t="s">
        <v>15717</v>
      </c>
      <c r="I4932" s="4" t="s">
        <v>15648</v>
      </c>
      <c r="J4932" s="4" t="s">
        <v>15649</v>
      </c>
      <c r="K4932" s="4" t="s">
        <v>15718</v>
      </c>
      <c r="L4932" s="5">
        <v>84100</v>
      </c>
    </row>
    <row r="4933" spans="1:12" x14ac:dyDescent="0.25">
      <c r="A4933" s="3" t="s">
        <v>15172</v>
      </c>
      <c r="B4933" s="4" t="s">
        <v>15632</v>
      </c>
      <c r="C4933" s="4" t="s">
        <v>14</v>
      </c>
      <c r="D4933" s="4" t="s">
        <v>15</v>
      </c>
      <c r="E4933" s="5" t="str">
        <f>"9290142"</f>
        <v>9290142</v>
      </c>
      <c r="F4933" s="3" t="s">
        <v>15719</v>
      </c>
      <c r="G4933" s="5">
        <v>2281042428</v>
      </c>
      <c r="H4933" s="4" t="s">
        <v>15720</v>
      </c>
      <c r="I4933" s="4" t="s">
        <v>15648</v>
      </c>
      <c r="J4933" s="4"/>
      <c r="K4933" s="4" t="s">
        <v>15721</v>
      </c>
      <c r="L4933" s="5">
        <v>84100</v>
      </c>
    </row>
    <row r="4934" spans="1:12" x14ac:dyDescent="0.25">
      <c r="A4934" s="3" t="s">
        <v>15172</v>
      </c>
      <c r="B4934" s="4" t="s">
        <v>15632</v>
      </c>
      <c r="C4934" s="4" t="s">
        <v>14</v>
      </c>
      <c r="D4934" s="4" t="s">
        <v>15</v>
      </c>
      <c r="E4934" s="5" t="str">
        <f>"9290138"</f>
        <v>9290138</v>
      </c>
      <c r="F4934" s="3" t="s">
        <v>15722</v>
      </c>
      <c r="G4934" s="5">
        <v>2281061210</v>
      </c>
      <c r="H4934" s="4" t="s">
        <v>15723</v>
      </c>
      <c r="I4934" s="4" t="s">
        <v>15648</v>
      </c>
      <c r="J4934" s="4" t="s">
        <v>15724</v>
      </c>
      <c r="K4934" s="4" t="s">
        <v>2241</v>
      </c>
      <c r="L4934" s="5">
        <v>84100</v>
      </c>
    </row>
    <row r="4935" spans="1:12" x14ac:dyDescent="0.25">
      <c r="A4935" s="3" t="s">
        <v>15172</v>
      </c>
      <c r="B4935" s="4" t="s">
        <v>15632</v>
      </c>
      <c r="C4935" s="4" t="s">
        <v>25</v>
      </c>
      <c r="D4935" s="4" t="s">
        <v>26</v>
      </c>
      <c r="E4935" s="5" t="str">
        <f>"9290251"</f>
        <v>9290251</v>
      </c>
      <c r="F4935" s="3" t="s">
        <v>15725</v>
      </c>
      <c r="G4935" s="5">
        <v>2286031922</v>
      </c>
      <c r="H4935" s="4" t="s">
        <v>15726</v>
      </c>
      <c r="I4935" s="4" t="s">
        <v>15673</v>
      </c>
      <c r="J4935" s="4" t="s">
        <v>15727</v>
      </c>
      <c r="K4935" s="4" t="s">
        <v>15728</v>
      </c>
      <c r="L4935" s="5">
        <v>84700</v>
      </c>
    </row>
    <row r="4936" spans="1:12" x14ac:dyDescent="0.25">
      <c r="A4936" s="3" t="s">
        <v>15172</v>
      </c>
      <c r="B4936" s="4" t="s">
        <v>15632</v>
      </c>
      <c r="C4936" s="4" t="s">
        <v>25</v>
      </c>
      <c r="D4936" s="4" t="s">
        <v>26</v>
      </c>
      <c r="E4936" s="5" t="str">
        <f>"9290199"</f>
        <v>9290199</v>
      </c>
      <c r="F4936" s="3" t="s">
        <v>15729</v>
      </c>
      <c r="G4936" s="5">
        <v>6944575017</v>
      </c>
      <c r="H4936" s="4" t="s">
        <v>15730</v>
      </c>
      <c r="I4936" s="4" t="s">
        <v>15653</v>
      </c>
      <c r="J4936" s="4" t="s">
        <v>15731</v>
      </c>
      <c r="K4936" s="4" t="s">
        <v>15732</v>
      </c>
      <c r="L4936" s="5">
        <v>84800</v>
      </c>
    </row>
    <row r="4937" spans="1:12" x14ac:dyDescent="0.25">
      <c r="A4937" s="3" t="s">
        <v>15172</v>
      </c>
      <c r="B4937" s="4" t="s">
        <v>15632</v>
      </c>
      <c r="C4937" s="4" t="s">
        <v>25</v>
      </c>
      <c r="D4937" s="4" t="s">
        <v>26</v>
      </c>
      <c r="E4937" s="5" t="str">
        <f>"9290226"</f>
        <v>9290226</v>
      </c>
      <c r="F4937" s="3" t="s">
        <v>15733</v>
      </c>
      <c r="G4937" s="5">
        <v>2281061118</v>
      </c>
      <c r="H4937" s="4" t="s">
        <v>15734</v>
      </c>
      <c r="I4937" s="4" t="s">
        <v>15648</v>
      </c>
      <c r="J4937" s="4" t="s">
        <v>2241</v>
      </c>
      <c r="K4937" s="4" t="s">
        <v>15735</v>
      </c>
      <c r="L4937" s="5">
        <v>84100</v>
      </c>
    </row>
    <row r="4938" spans="1:12" x14ac:dyDescent="0.25">
      <c r="A4938" s="3" t="s">
        <v>15172</v>
      </c>
      <c r="B4938" s="4" t="s">
        <v>15632</v>
      </c>
      <c r="C4938" s="4" t="s">
        <v>14</v>
      </c>
      <c r="D4938" s="4" t="s">
        <v>15</v>
      </c>
      <c r="E4938" s="5" t="str">
        <f>"9290020"</f>
        <v>9290020</v>
      </c>
      <c r="F4938" s="3" t="s">
        <v>15736</v>
      </c>
      <c r="G4938" s="5">
        <v>2286091295</v>
      </c>
      <c r="H4938" s="4" t="s">
        <v>15737</v>
      </c>
      <c r="I4938" s="4" t="s">
        <v>15738</v>
      </c>
      <c r="J4938" s="4" t="s">
        <v>15739</v>
      </c>
      <c r="K4938" s="4" t="s">
        <v>15740</v>
      </c>
      <c r="L4938" s="5">
        <v>84001</v>
      </c>
    </row>
    <row r="4939" spans="1:12" x14ac:dyDescent="0.25">
      <c r="A4939" s="3" t="s">
        <v>15172</v>
      </c>
      <c r="B4939" s="4" t="s">
        <v>15632</v>
      </c>
      <c r="C4939" s="4" t="s">
        <v>25</v>
      </c>
      <c r="D4939" s="4" t="s">
        <v>26</v>
      </c>
      <c r="E4939" s="5" t="str">
        <f>"9290252"</f>
        <v>9290252</v>
      </c>
      <c r="F4939" s="3" t="s">
        <v>15741</v>
      </c>
      <c r="G4939" s="5">
        <v>2281051169</v>
      </c>
      <c r="H4939" s="4" t="s">
        <v>15742</v>
      </c>
      <c r="I4939" s="4" t="s">
        <v>15743</v>
      </c>
      <c r="J4939" s="4" t="s">
        <v>15744</v>
      </c>
      <c r="K4939" s="4" t="s">
        <v>15745</v>
      </c>
      <c r="L4939" s="5">
        <v>84005</v>
      </c>
    </row>
    <row r="4940" spans="1:12" x14ac:dyDescent="0.25">
      <c r="A4940" s="3" t="s">
        <v>15172</v>
      </c>
      <c r="B4940" s="4" t="s">
        <v>15632</v>
      </c>
      <c r="C4940" s="4" t="s">
        <v>25</v>
      </c>
      <c r="D4940" s="4" t="s">
        <v>26</v>
      </c>
      <c r="E4940" s="5" t="str">
        <f>"9290247"</f>
        <v>9290247</v>
      </c>
      <c r="F4940" s="3" t="s">
        <v>15746</v>
      </c>
      <c r="G4940" s="5">
        <v>2288021180</v>
      </c>
      <c r="H4940" s="4" t="s">
        <v>15747</v>
      </c>
      <c r="I4940" s="4" t="s">
        <v>15664</v>
      </c>
      <c r="J4940" s="4" t="s">
        <v>15669</v>
      </c>
      <c r="K4940" s="4" t="s">
        <v>15670</v>
      </c>
      <c r="L4940" s="5">
        <v>84002</v>
      </c>
    </row>
    <row r="4941" spans="1:12" x14ac:dyDescent="0.25">
      <c r="A4941" s="3" t="s">
        <v>15172</v>
      </c>
      <c r="B4941" s="4" t="s">
        <v>15632</v>
      </c>
      <c r="C4941" s="4" t="s">
        <v>14</v>
      </c>
      <c r="D4941" s="4" t="s">
        <v>15</v>
      </c>
      <c r="E4941" s="5" t="str">
        <f>"9290123"</f>
        <v>9290123</v>
      </c>
      <c r="F4941" s="3" t="s">
        <v>15748</v>
      </c>
      <c r="G4941" s="5">
        <v>2281088205</v>
      </c>
      <c r="H4941" s="4" t="s">
        <v>15749</v>
      </c>
      <c r="I4941" s="4" t="s">
        <v>15648</v>
      </c>
      <c r="J4941" s="4" t="s">
        <v>15750</v>
      </c>
      <c r="K4941" s="4" t="s">
        <v>15751</v>
      </c>
      <c r="L4941" s="5">
        <v>84100</v>
      </c>
    </row>
    <row r="4942" spans="1:12" x14ac:dyDescent="0.25">
      <c r="A4942" s="3" t="s">
        <v>15172</v>
      </c>
      <c r="B4942" s="4" t="s">
        <v>15632</v>
      </c>
      <c r="C4942" s="4" t="s">
        <v>25</v>
      </c>
      <c r="D4942" s="4" t="s">
        <v>26</v>
      </c>
      <c r="E4942" s="5" t="str">
        <f>"9290135"</f>
        <v>9290135</v>
      </c>
      <c r="F4942" s="3" t="s">
        <v>15752</v>
      </c>
      <c r="G4942" s="5">
        <v>2289023450</v>
      </c>
      <c r="H4942" s="4" t="s">
        <v>15753</v>
      </c>
      <c r="I4942" s="4" t="s">
        <v>15689</v>
      </c>
      <c r="J4942" s="4" t="s">
        <v>15754</v>
      </c>
      <c r="K4942" s="4" t="s">
        <v>15755</v>
      </c>
      <c r="L4942" s="5">
        <v>84600</v>
      </c>
    </row>
    <row r="4943" spans="1:12" x14ac:dyDescent="0.25">
      <c r="A4943" s="3" t="s">
        <v>15172</v>
      </c>
      <c r="B4943" s="4" t="s">
        <v>15632</v>
      </c>
      <c r="C4943" s="4" t="s">
        <v>25</v>
      </c>
      <c r="D4943" s="4" t="s">
        <v>26</v>
      </c>
      <c r="E4943" s="5" t="str">
        <f>"9290278"</f>
        <v>9290278</v>
      </c>
      <c r="F4943" s="3" t="s">
        <v>15756</v>
      </c>
      <c r="G4943" s="5">
        <v>2283025587</v>
      </c>
      <c r="H4943" s="4" t="s">
        <v>15757</v>
      </c>
      <c r="I4943" s="4" t="s">
        <v>15658</v>
      </c>
      <c r="J4943" s="4" t="s">
        <v>15658</v>
      </c>
      <c r="K4943" s="4" t="s">
        <v>15758</v>
      </c>
      <c r="L4943" s="5">
        <v>84200</v>
      </c>
    </row>
    <row r="4944" spans="1:12" x14ac:dyDescent="0.25">
      <c r="A4944" s="3" t="s">
        <v>15172</v>
      </c>
      <c r="B4944" s="4" t="s">
        <v>15632</v>
      </c>
      <c r="C4944" s="4" t="s">
        <v>14</v>
      </c>
      <c r="D4944" s="4" t="s">
        <v>15</v>
      </c>
      <c r="E4944" s="5" t="str">
        <f>"9290165"</f>
        <v>9290165</v>
      </c>
      <c r="F4944" s="3" t="s">
        <v>15759</v>
      </c>
      <c r="G4944" s="5">
        <v>2287022197</v>
      </c>
      <c r="H4944" s="4" t="s">
        <v>15760</v>
      </c>
      <c r="I4944" s="4" t="s">
        <v>15653</v>
      </c>
      <c r="J4944" s="4" t="s">
        <v>15732</v>
      </c>
      <c r="K4944" s="4" t="s">
        <v>15761</v>
      </c>
      <c r="L4944" s="5">
        <v>84800</v>
      </c>
    </row>
    <row r="4945" spans="1:12" x14ac:dyDescent="0.25">
      <c r="A4945" s="3" t="s">
        <v>15172</v>
      </c>
      <c r="B4945" s="4" t="s">
        <v>15632</v>
      </c>
      <c r="C4945" s="4" t="s">
        <v>14</v>
      </c>
      <c r="D4945" s="4" t="s">
        <v>15</v>
      </c>
      <c r="E4945" s="5" t="str">
        <f>"9290025"</f>
        <v>9290025</v>
      </c>
      <c r="F4945" s="3" t="s">
        <v>15762</v>
      </c>
      <c r="G4945" s="5">
        <v>2286031571</v>
      </c>
      <c r="H4945" s="4" t="s">
        <v>15763</v>
      </c>
      <c r="I4945" s="4" t="s">
        <v>15673</v>
      </c>
      <c r="J4945" s="4" t="s">
        <v>15764</v>
      </c>
      <c r="K4945" s="4" t="s">
        <v>15765</v>
      </c>
      <c r="L4945" s="5">
        <v>84700</v>
      </c>
    </row>
    <row r="4946" spans="1:12" x14ac:dyDescent="0.25">
      <c r="A4946" s="3" t="s">
        <v>15172</v>
      </c>
      <c r="B4946" s="4" t="s">
        <v>15632</v>
      </c>
      <c r="C4946" s="4" t="s">
        <v>14</v>
      </c>
      <c r="D4946" s="4" t="s">
        <v>15</v>
      </c>
      <c r="E4946" s="5" t="str">
        <f>"9290244"</f>
        <v>9290244</v>
      </c>
      <c r="F4946" s="3" t="s">
        <v>15766</v>
      </c>
      <c r="G4946" s="5">
        <v>2285025616</v>
      </c>
      <c r="H4946" s="4" t="s">
        <v>15767</v>
      </c>
      <c r="I4946" s="4" t="s">
        <v>15639</v>
      </c>
      <c r="J4946" s="4" t="s">
        <v>15768</v>
      </c>
      <c r="K4946" s="4" t="s">
        <v>15768</v>
      </c>
      <c r="L4946" s="5">
        <v>84300</v>
      </c>
    </row>
    <row r="4947" spans="1:12" x14ac:dyDescent="0.25">
      <c r="A4947" s="3" t="s">
        <v>15172</v>
      </c>
      <c r="B4947" s="4" t="s">
        <v>15632</v>
      </c>
      <c r="C4947" s="4" t="s">
        <v>14</v>
      </c>
      <c r="D4947" s="4" t="s">
        <v>15</v>
      </c>
      <c r="E4947" s="5" t="str">
        <f>"9290157"</f>
        <v>9290157</v>
      </c>
      <c r="F4947" s="3" t="s">
        <v>15769</v>
      </c>
      <c r="G4947" s="5">
        <v>2283051584</v>
      </c>
      <c r="H4947" s="4" t="s">
        <v>15770</v>
      </c>
      <c r="I4947" s="4" t="s">
        <v>15658</v>
      </c>
      <c r="J4947" s="4" t="s">
        <v>15771</v>
      </c>
      <c r="K4947" s="4" t="s">
        <v>15772</v>
      </c>
      <c r="L4947" s="5">
        <v>84200</v>
      </c>
    </row>
    <row r="4948" spans="1:12" x14ac:dyDescent="0.25">
      <c r="A4948" s="3" t="s">
        <v>15172</v>
      </c>
      <c r="B4948" s="4" t="s">
        <v>15632</v>
      </c>
      <c r="C4948" s="4" t="s">
        <v>14</v>
      </c>
      <c r="D4948" s="4" t="s">
        <v>15</v>
      </c>
      <c r="E4948" s="5" t="str">
        <f>"9290063"</f>
        <v>9290063</v>
      </c>
      <c r="F4948" s="3" t="s">
        <v>15773</v>
      </c>
      <c r="G4948" s="5">
        <v>2285031408</v>
      </c>
      <c r="H4948" s="4" t="s">
        <v>15774</v>
      </c>
      <c r="I4948" s="4" t="s">
        <v>15639</v>
      </c>
      <c r="J4948" s="4" t="s">
        <v>15775</v>
      </c>
      <c r="K4948" s="4" t="s">
        <v>15776</v>
      </c>
      <c r="L4948" s="5">
        <v>84302</v>
      </c>
    </row>
    <row r="4949" spans="1:12" x14ac:dyDescent="0.25">
      <c r="A4949" s="3" t="s">
        <v>15172</v>
      </c>
      <c r="B4949" s="4" t="s">
        <v>15632</v>
      </c>
      <c r="C4949" s="4" t="s">
        <v>14</v>
      </c>
      <c r="D4949" s="4" t="s">
        <v>15</v>
      </c>
      <c r="E4949" s="5" t="str">
        <f>"9290041"</f>
        <v>9290041</v>
      </c>
      <c r="F4949" s="3" t="s">
        <v>15777</v>
      </c>
      <c r="G4949" s="5">
        <v>2285360706</v>
      </c>
      <c r="H4949" s="4" t="s">
        <v>15778</v>
      </c>
      <c r="I4949" s="4" t="s">
        <v>15639</v>
      </c>
      <c r="J4949" s="4" t="s">
        <v>15779</v>
      </c>
      <c r="K4949" s="4" t="s">
        <v>15779</v>
      </c>
      <c r="L4949" s="5">
        <v>84300</v>
      </c>
    </row>
    <row r="4950" spans="1:12" x14ac:dyDescent="0.25">
      <c r="A4950" s="3" t="s">
        <v>15172</v>
      </c>
      <c r="B4950" s="4" t="s">
        <v>15632</v>
      </c>
      <c r="C4950" s="4" t="s">
        <v>14</v>
      </c>
      <c r="D4950" s="4" t="s">
        <v>15</v>
      </c>
      <c r="E4950" s="5" t="str">
        <f>"9290107"</f>
        <v>9290107</v>
      </c>
      <c r="F4950" s="3" t="s">
        <v>15780</v>
      </c>
      <c r="G4950" s="5">
        <v>2282061281</v>
      </c>
      <c r="H4950" s="4" t="s">
        <v>15781</v>
      </c>
      <c r="I4950" s="4" t="s">
        <v>15681</v>
      </c>
      <c r="J4950" s="4" t="s">
        <v>15782</v>
      </c>
      <c r="K4950" s="4" t="s">
        <v>15782</v>
      </c>
      <c r="L4950" s="5">
        <v>84502</v>
      </c>
    </row>
    <row r="4951" spans="1:12" x14ac:dyDescent="0.25">
      <c r="A4951" s="3" t="s">
        <v>15172</v>
      </c>
      <c r="B4951" s="4" t="s">
        <v>15632</v>
      </c>
      <c r="C4951" s="4" t="s">
        <v>14</v>
      </c>
      <c r="D4951" s="4" t="s">
        <v>15</v>
      </c>
      <c r="E4951" s="5" t="str">
        <f>"9290130"</f>
        <v>9290130</v>
      </c>
      <c r="F4951" s="3" t="s">
        <v>15783</v>
      </c>
      <c r="G4951" s="5">
        <v>2281088415</v>
      </c>
      <c r="H4951" s="4" t="s">
        <v>15784</v>
      </c>
      <c r="I4951" s="4" t="s">
        <v>15648</v>
      </c>
      <c r="J4951" s="4" t="s">
        <v>15785</v>
      </c>
      <c r="K4951" s="4" t="s">
        <v>15786</v>
      </c>
      <c r="L4951" s="5">
        <v>84100</v>
      </c>
    </row>
    <row r="4952" spans="1:12" x14ac:dyDescent="0.25">
      <c r="A4952" s="3" t="s">
        <v>15172</v>
      </c>
      <c r="B4952" s="4" t="s">
        <v>15632</v>
      </c>
      <c r="C4952" s="4" t="s">
        <v>25</v>
      </c>
      <c r="D4952" s="4" t="s">
        <v>26</v>
      </c>
      <c r="E4952" s="5" t="str">
        <f>"9290228"</f>
        <v>9290228</v>
      </c>
      <c r="F4952" s="3" t="s">
        <v>15787</v>
      </c>
      <c r="G4952" s="5">
        <v>2281032950</v>
      </c>
      <c r="H4952" s="4" t="s">
        <v>15788</v>
      </c>
      <c r="I4952" s="4" t="s">
        <v>15789</v>
      </c>
      <c r="J4952" s="4" t="s">
        <v>15790</v>
      </c>
      <c r="K4952" s="4" t="s">
        <v>15791</v>
      </c>
      <c r="L4952" s="5">
        <v>84006</v>
      </c>
    </row>
    <row r="4953" spans="1:12" x14ac:dyDescent="0.25">
      <c r="A4953" s="3" t="s">
        <v>15172</v>
      </c>
      <c r="B4953" s="4" t="s">
        <v>15632</v>
      </c>
      <c r="C4953" s="4" t="s">
        <v>14</v>
      </c>
      <c r="D4953" s="4" t="s">
        <v>15</v>
      </c>
      <c r="E4953" s="5" t="str">
        <f>"9290078"</f>
        <v>9290078</v>
      </c>
      <c r="F4953" s="3" t="s">
        <v>15792</v>
      </c>
      <c r="G4953" s="5">
        <v>2284051208</v>
      </c>
      <c r="H4953" s="4" t="s">
        <v>15793</v>
      </c>
      <c r="I4953" s="4" t="s">
        <v>15635</v>
      </c>
      <c r="J4953" s="4" t="s">
        <v>12451</v>
      </c>
      <c r="K4953" s="4" t="s">
        <v>15794</v>
      </c>
      <c r="L4953" s="5">
        <v>84401</v>
      </c>
    </row>
    <row r="4954" spans="1:12" x14ac:dyDescent="0.25">
      <c r="A4954" s="3" t="s">
        <v>15172</v>
      </c>
      <c r="B4954" s="4" t="s">
        <v>15632</v>
      </c>
      <c r="C4954" s="4" t="s">
        <v>25</v>
      </c>
      <c r="D4954" s="4" t="s">
        <v>26</v>
      </c>
      <c r="E4954" s="5" t="str">
        <f>"9290224"</f>
        <v>9290224</v>
      </c>
      <c r="F4954" s="3" t="s">
        <v>15795</v>
      </c>
      <c r="G4954" s="5">
        <v>2284092262</v>
      </c>
      <c r="H4954" s="4" t="s">
        <v>15796</v>
      </c>
      <c r="I4954" s="4" t="s">
        <v>15635</v>
      </c>
      <c r="J4954" s="4" t="s">
        <v>15797</v>
      </c>
      <c r="K4954" s="4" t="s">
        <v>15798</v>
      </c>
      <c r="L4954" s="5">
        <v>84400</v>
      </c>
    </row>
    <row r="4955" spans="1:12" x14ac:dyDescent="0.25">
      <c r="A4955" s="3" t="s">
        <v>15172</v>
      </c>
      <c r="B4955" s="4" t="s">
        <v>15632</v>
      </c>
      <c r="C4955" s="4" t="s">
        <v>25</v>
      </c>
      <c r="D4955" s="4" t="s">
        <v>26</v>
      </c>
      <c r="E4955" s="5" t="str">
        <f>"9290241"</f>
        <v>9290241</v>
      </c>
      <c r="F4955" s="3" t="s">
        <v>15799</v>
      </c>
      <c r="G4955" s="5">
        <v>2286032268</v>
      </c>
      <c r="H4955" s="4" t="s">
        <v>15800</v>
      </c>
      <c r="I4955" s="4" t="s">
        <v>15673</v>
      </c>
      <c r="J4955" s="4" t="s">
        <v>15801</v>
      </c>
      <c r="K4955" s="4" t="s">
        <v>15802</v>
      </c>
      <c r="L4955" s="5">
        <v>84700</v>
      </c>
    </row>
    <row r="4956" spans="1:12" x14ac:dyDescent="0.25">
      <c r="A4956" s="3" t="s">
        <v>15172</v>
      </c>
      <c r="B4956" s="4" t="s">
        <v>15632</v>
      </c>
      <c r="C4956" s="4" t="s">
        <v>14</v>
      </c>
      <c r="D4956" s="4" t="s">
        <v>15</v>
      </c>
      <c r="E4956" s="5" t="str">
        <f>"9290147"</f>
        <v>9290147</v>
      </c>
      <c r="F4956" s="3" t="s">
        <v>15803</v>
      </c>
      <c r="G4956" s="5">
        <v>2283022287</v>
      </c>
      <c r="H4956" s="4" t="s">
        <v>15804</v>
      </c>
      <c r="I4956" s="4" t="s">
        <v>15658</v>
      </c>
      <c r="J4956" s="4" t="s">
        <v>15805</v>
      </c>
      <c r="K4956" s="4" t="s">
        <v>15806</v>
      </c>
      <c r="L4956" s="5">
        <v>84200</v>
      </c>
    </row>
    <row r="4957" spans="1:12" x14ac:dyDescent="0.25">
      <c r="A4957" s="3" t="s">
        <v>15172</v>
      </c>
      <c r="B4957" s="4" t="s">
        <v>15632</v>
      </c>
      <c r="C4957" s="4" t="s">
        <v>14</v>
      </c>
      <c r="D4957" s="4" t="s">
        <v>15</v>
      </c>
      <c r="E4957" s="5" t="str">
        <f>"9290148"</f>
        <v>9290148</v>
      </c>
      <c r="F4957" s="3" t="s">
        <v>15807</v>
      </c>
      <c r="G4957" s="5">
        <v>2283022358</v>
      </c>
      <c r="H4957" s="4" t="s">
        <v>15808</v>
      </c>
      <c r="I4957" s="4" t="s">
        <v>15658</v>
      </c>
      <c r="J4957" s="4" t="s">
        <v>15809</v>
      </c>
      <c r="K4957" s="4" t="s">
        <v>15810</v>
      </c>
      <c r="L4957" s="5">
        <v>84200</v>
      </c>
    </row>
    <row r="4958" spans="1:12" x14ac:dyDescent="0.25">
      <c r="A4958" s="3" t="s">
        <v>15172</v>
      </c>
      <c r="B4958" s="4" t="s">
        <v>15632</v>
      </c>
      <c r="C4958" s="4" t="s">
        <v>14</v>
      </c>
      <c r="D4958" s="4" t="s">
        <v>15</v>
      </c>
      <c r="E4958" s="5" t="str">
        <f>"9290067"</f>
        <v>9290067</v>
      </c>
      <c r="F4958" s="3" t="s">
        <v>15811</v>
      </c>
      <c r="G4958" s="5">
        <v>2284091255</v>
      </c>
      <c r="H4958" s="4" t="s">
        <v>15812</v>
      </c>
      <c r="I4958" s="4" t="s">
        <v>15635</v>
      </c>
      <c r="J4958" s="4" t="s">
        <v>15813</v>
      </c>
      <c r="K4958" s="4" t="s">
        <v>15813</v>
      </c>
      <c r="L4958" s="5">
        <v>84400</v>
      </c>
    </row>
    <row r="4959" spans="1:12" x14ac:dyDescent="0.25">
      <c r="A4959" s="3" t="s">
        <v>15172</v>
      </c>
      <c r="B4959" s="4" t="s">
        <v>15632</v>
      </c>
      <c r="C4959" s="4" t="s">
        <v>14</v>
      </c>
      <c r="D4959" s="4" t="s">
        <v>15</v>
      </c>
      <c r="E4959" s="5" t="str">
        <f>"9290021"</f>
        <v>9290021</v>
      </c>
      <c r="F4959" s="3" t="s">
        <v>15814</v>
      </c>
      <c r="G4959" s="5">
        <v>2286022556</v>
      </c>
      <c r="H4959" s="4" t="s">
        <v>15815</v>
      </c>
      <c r="I4959" s="4" t="s">
        <v>15673</v>
      </c>
      <c r="J4959" s="4" t="s">
        <v>15816</v>
      </c>
      <c r="K4959" s="4" t="s">
        <v>15817</v>
      </c>
      <c r="L4959" s="5">
        <v>84700</v>
      </c>
    </row>
    <row r="4960" spans="1:12" x14ac:dyDescent="0.25">
      <c r="A4960" s="3" t="s">
        <v>15172</v>
      </c>
      <c r="B4960" s="4" t="s">
        <v>15632</v>
      </c>
      <c r="C4960" s="4" t="s">
        <v>14</v>
      </c>
      <c r="D4960" s="4" t="s">
        <v>15</v>
      </c>
      <c r="E4960" s="5" t="str">
        <f>"9290012"</f>
        <v>9290012</v>
      </c>
      <c r="F4960" s="3" t="s">
        <v>15818</v>
      </c>
      <c r="G4960" s="5">
        <v>2286083176</v>
      </c>
      <c r="H4960" s="4" t="s">
        <v>15819</v>
      </c>
      <c r="I4960" s="4" t="s">
        <v>15673</v>
      </c>
      <c r="J4960" s="4" t="s">
        <v>15820</v>
      </c>
      <c r="K4960" s="4" t="s">
        <v>15820</v>
      </c>
      <c r="L4960" s="5">
        <v>84703</v>
      </c>
    </row>
    <row r="4961" spans="1:12" x14ac:dyDescent="0.25">
      <c r="A4961" s="3" t="s">
        <v>15172</v>
      </c>
      <c r="B4961" s="4" t="s">
        <v>15632</v>
      </c>
      <c r="C4961" s="4" t="s">
        <v>25</v>
      </c>
      <c r="D4961" s="4" t="s">
        <v>26</v>
      </c>
      <c r="E4961" s="5" t="str">
        <f>"9290081"</f>
        <v>9290081</v>
      </c>
      <c r="F4961" s="3" t="s">
        <v>15821</v>
      </c>
      <c r="G4961" s="5">
        <v>2284021230</v>
      </c>
      <c r="H4961" s="4" t="s">
        <v>15822</v>
      </c>
      <c r="I4961" s="4" t="s">
        <v>15635</v>
      </c>
      <c r="J4961" s="4" t="s">
        <v>15823</v>
      </c>
      <c r="K4961" s="4" t="s">
        <v>15824</v>
      </c>
      <c r="L4961" s="5">
        <v>84400</v>
      </c>
    </row>
    <row r="4962" spans="1:12" x14ac:dyDescent="0.25">
      <c r="A4962" s="3" t="s">
        <v>15172</v>
      </c>
      <c r="B4962" s="4" t="s">
        <v>15632</v>
      </c>
      <c r="C4962" s="4" t="s">
        <v>14</v>
      </c>
      <c r="D4962" s="4" t="s">
        <v>15</v>
      </c>
      <c r="E4962" s="5" t="str">
        <f>"9290255"</f>
        <v>9290255</v>
      </c>
      <c r="F4962" s="3" t="s">
        <v>15825</v>
      </c>
      <c r="G4962" s="5">
        <v>2284021277</v>
      </c>
      <c r="H4962" s="4" t="s">
        <v>15826</v>
      </c>
      <c r="I4962" s="4" t="s">
        <v>15635</v>
      </c>
      <c r="J4962" s="4" t="s">
        <v>15827</v>
      </c>
      <c r="K4962" s="4" t="s">
        <v>15827</v>
      </c>
      <c r="L4962" s="5">
        <v>84400</v>
      </c>
    </row>
    <row r="4963" spans="1:12" x14ac:dyDescent="0.25">
      <c r="A4963" s="3" t="s">
        <v>15172</v>
      </c>
      <c r="B4963" s="4" t="s">
        <v>15632</v>
      </c>
      <c r="C4963" s="4" t="s">
        <v>14</v>
      </c>
      <c r="D4963" s="4" t="s">
        <v>15</v>
      </c>
      <c r="E4963" s="5" t="str">
        <f>"9290121"</f>
        <v>9290121</v>
      </c>
      <c r="F4963" s="3" t="s">
        <v>15828</v>
      </c>
      <c r="G4963" s="5">
        <v>2281051120</v>
      </c>
      <c r="H4963" s="4" t="s">
        <v>15829</v>
      </c>
      <c r="I4963" s="4" t="s">
        <v>15743</v>
      </c>
      <c r="J4963" s="4" t="s">
        <v>15830</v>
      </c>
      <c r="K4963" s="4" t="s">
        <v>15831</v>
      </c>
      <c r="L4963" s="5">
        <v>84005</v>
      </c>
    </row>
    <row r="4964" spans="1:12" x14ac:dyDescent="0.25">
      <c r="A4964" s="3" t="s">
        <v>15172</v>
      </c>
      <c r="B4964" s="4" t="s">
        <v>15632</v>
      </c>
      <c r="C4964" s="4" t="s">
        <v>25</v>
      </c>
      <c r="D4964" s="4" t="s">
        <v>26</v>
      </c>
      <c r="E4964" s="5" t="str">
        <f>"9290219"</f>
        <v>9290219</v>
      </c>
      <c r="F4964" s="3" t="s">
        <v>15832</v>
      </c>
      <c r="G4964" s="5">
        <v>2284061354</v>
      </c>
      <c r="H4964" s="4" t="s">
        <v>15833</v>
      </c>
      <c r="I4964" s="4" t="s">
        <v>15834</v>
      </c>
      <c r="J4964" s="4" t="s">
        <v>15834</v>
      </c>
      <c r="K4964" s="4" t="s">
        <v>15835</v>
      </c>
      <c r="L4964" s="5">
        <v>84007</v>
      </c>
    </row>
    <row r="4965" spans="1:12" x14ac:dyDescent="0.25">
      <c r="A4965" s="3" t="s">
        <v>15172</v>
      </c>
      <c r="B4965" s="4" t="s">
        <v>15632</v>
      </c>
      <c r="C4965" s="4" t="s">
        <v>25</v>
      </c>
      <c r="D4965" s="4" t="s">
        <v>26</v>
      </c>
      <c r="E4965" s="5" t="str">
        <f>"9290216"</f>
        <v>9290216</v>
      </c>
      <c r="F4965" s="3" t="s">
        <v>15836</v>
      </c>
      <c r="G4965" s="5">
        <v>2284021292</v>
      </c>
      <c r="H4965" s="4" t="s">
        <v>15837</v>
      </c>
      <c r="I4965" s="4" t="s">
        <v>15635</v>
      </c>
      <c r="J4965" s="4" t="s">
        <v>15838</v>
      </c>
      <c r="K4965" s="4" t="s">
        <v>15827</v>
      </c>
      <c r="L4965" s="5">
        <v>84400</v>
      </c>
    </row>
    <row r="4966" spans="1:12" x14ac:dyDescent="0.25">
      <c r="A4966" s="3" t="s">
        <v>15172</v>
      </c>
      <c r="B4966" s="4" t="s">
        <v>15632</v>
      </c>
      <c r="C4966" s="4" t="s">
        <v>14</v>
      </c>
      <c r="D4966" s="4" t="s">
        <v>15</v>
      </c>
      <c r="E4966" s="5" t="str">
        <f>"9290137"</f>
        <v>9290137</v>
      </c>
      <c r="F4966" s="3" t="s">
        <v>15839</v>
      </c>
      <c r="G4966" s="5">
        <v>2289071273</v>
      </c>
      <c r="H4966" s="4" t="s">
        <v>15840</v>
      </c>
      <c r="I4966" s="4" t="s">
        <v>15689</v>
      </c>
      <c r="J4966" s="4" t="s">
        <v>15841</v>
      </c>
      <c r="K4966" s="4" t="s">
        <v>15841</v>
      </c>
      <c r="L4966" s="5">
        <v>84600</v>
      </c>
    </row>
    <row r="4967" spans="1:12" x14ac:dyDescent="0.25">
      <c r="A4967" s="3" t="s">
        <v>15172</v>
      </c>
      <c r="B4967" s="4" t="s">
        <v>15632</v>
      </c>
      <c r="C4967" s="4" t="s">
        <v>25</v>
      </c>
      <c r="D4967" s="4" t="s">
        <v>26</v>
      </c>
      <c r="E4967" s="5" t="str">
        <f>"9290196"</f>
        <v>9290196</v>
      </c>
      <c r="F4967" s="3" t="s">
        <v>15842</v>
      </c>
      <c r="G4967" s="5">
        <v>2284051686</v>
      </c>
      <c r="H4967" s="4" t="s">
        <v>15843</v>
      </c>
      <c r="I4967" s="4" t="s">
        <v>15635</v>
      </c>
      <c r="J4967" s="4" t="s">
        <v>15844</v>
      </c>
      <c r="K4967" s="4" t="s">
        <v>15794</v>
      </c>
      <c r="L4967" s="5">
        <v>84401</v>
      </c>
    </row>
    <row r="4968" spans="1:12" x14ac:dyDescent="0.25">
      <c r="A4968" s="3" t="s">
        <v>15172</v>
      </c>
      <c r="B4968" s="4" t="s">
        <v>15632</v>
      </c>
      <c r="C4968" s="4" t="s">
        <v>14</v>
      </c>
      <c r="D4968" s="4" t="s">
        <v>15</v>
      </c>
      <c r="E4968" s="5" t="str">
        <f>"9290069"</f>
        <v>9290069</v>
      </c>
      <c r="F4968" s="3" t="s">
        <v>15845</v>
      </c>
      <c r="G4968" s="5">
        <v>2284061250</v>
      </c>
      <c r="H4968" s="4" t="s">
        <v>15846</v>
      </c>
      <c r="I4968" s="4" t="s">
        <v>15834</v>
      </c>
      <c r="J4968" s="4"/>
      <c r="K4968" s="4" t="s">
        <v>15835</v>
      </c>
      <c r="L4968" s="5">
        <v>84007</v>
      </c>
    </row>
    <row r="4969" spans="1:12" x14ac:dyDescent="0.25">
      <c r="A4969" s="3" t="s">
        <v>15172</v>
      </c>
      <c r="B4969" s="4" t="s">
        <v>15632</v>
      </c>
      <c r="C4969" s="4" t="s">
        <v>25</v>
      </c>
      <c r="D4969" s="4" t="s">
        <v>26</v>
      </c>
      <c r="E4969" s="5" t="str">
        <f>"9290214"</f>
        <v>9290214</v>
      </c>
      <c r="F4969" s="3" t="s">
        <v>15847</v>
      </c>
      <c r="G4969" s="5">
        <v>2286021946</v>
      </c>
      <c r="H4969" s="4" t="s">
        <v>15848</v>
      </c>
      <c r="I4969" s="4" t="s">
        <v>15673</v>
      </c>
      <c r="J4969" s="4" t="s">
        <v>15849</v>
      </c>
      <c r="K4969" s="4" t="s">
        <v>15817</v>
      </c>
      <c r="L4969" s="5">
        <v>84700</v>
      </c>
    </row>
    <row r="4970" spans="1:12" x14ac:dyDescent="0.25">
      <c r="A4970" s="3" t="s">
        <v>15172</v>
      </c>
      <c r="B4970" s="4" t="s">
        <v>15632</v>
      </c>
      <c r="C4970" s="4" t="s">
        <v>14</v>
      </c>
      <c r="D4970" s="4" t="s">
        <v>15</v>
      </c>
      <c r="E4970" s="5" t="str">
        <f>"9290026"</f>
        <v>9290026</v>
      </c>
      <c r="F4970" s="3" t="s">
        <v>15850</v>
      </c>
      <c r="G4970" s="5">
        <v>2286071300</v>
      </c>
      <c r="H4970" s="4" t="s">
        <v>15851</v>
      </c>
      <c r="I4970" s="4" t="s">
        <v>15673</v>
      </c>
      <c r="J4970" s="4" t="s">
        <v>15852</v>
      </c>
      <c r="K4970" s="4" t="s">
        <v>15853</v>
      </c>
      <c r="L4970" s="5">
        <v>84702</v>
      </c>
    </row>
    <row r="4971" spans="1:12" x14ac:dyDescent="0.25">
      <c r="A4971" s="3" t="s">
        <v>15172</v>
      </c>
      <c r="B4971" s="4" t="s">
        <v>15632</v>
      </c>
      <c r="C4971" s="4" t="s">
        <v>25</v>
      </c>
      <c r="D4971" s="4" t="s">
        <v>26</v>
      </c>
      <c r="E4971" s="5" t="str">
        <f>"9290274"</f>
        <v>9290274</v>
      </c>
      <c r="F4971" s="3" t="s">
        <v>15854</v>
      </c>
      <c r="G4971" s="5">
        <v>2281043400</v>
      </c>
      <c r="H4971" s="4" t="s">
        <v>15855</v>
      </c>
      <c r="I4971" s="4" t="s">
        <v>15648</v>
      </c>
      <c r="J4971" s="4" t="s">
        <v>15856</v>
      </c>
      <c r="K4971" s="4" t="s">
        <v>15857</v>
      </c>
      <c r="L4971" s="5">
        <v>84100</v>
      </c>
    </row>
    <row r="4972" spans="1:12" x14ac:dyDescent="0.25">
      <c r="A4972" s="3" t="s">
        <v>15172</v>
      </c>
      <c r="B4972" s="4" t="s">
        <v>15632</v>
      </c>
      <c r="C4972" s="4" t="s">
        <v>14</v>
      </c>
      <c r="D4972" s="4" t="s">
        <v>15</v>
      </c>
      <c r="E4972" s="5" t="str">
        <f>"9290259"</f>
        <v>9290259</v>
      </c>
      <c r="F4972" s="3" t="s">
        <v>15858</v>
      </c>
      <c r="G4972" s="5">
        <v>2284023580</v>
      </c>
      <c r="H4972" s="4" t="s">
        <v>15859</v>
      </c>
      <c r="I4972" s="4" t="s">
        <v>15635</v>
      </c>
      <c r="J4972" s="4" t="s">
        <v>15827</v>
      </c>
      <c r="K4972" s="4" t="s">
        <v>15860</v>
      </c>
      <c r="L4972" s="5">
        <v>84400</v>
      </c>
    </row>
    <row r="4973" spans="1:12" x14ac:dyDescent="0.25">
      <c r="A4973" s="3" t="s">
        <v>15172</v>
      </c>
      <c r="B4973" s="4" t="s">
        <v>15632</v>
      </c>
      <c r="C4973" s="4" t="s">
        <v>25</v>
      </c>
      <c r="D4973" s="4" t="s">
        <v>26</v>
      </c>
      <c r="E4973" s="5" t="str">
        <f>"9290222"</f>
        <v>9290222</v>
      </c>
      <c r="F4973" s="3" t="s">
        <v>15861</v>
      </c>
      <c r="G4973" s="5">
        <v>2282071486</v>
      </c>
      <c r="H4973" s="4" t="s">
        <v>15862</v>
      </c>
      <c r="I4973" s="4" t="s">
        <v>15681</v>
      </c>
      <c r="J4973" s="4" t="s">
        <v>15682</v>
      </c>
      <c r="K4973" s="4" t="s">
        <v>15863</v>
      </c>
      <c r="L4973" s="5">
        <v>84501</v>
      </c>
    </row>
    <row r="4974" spans="1:12" x14ac:dyDescent="0.25">
      <c r="A4974" s="3" t="s">
        <v>15172</v>
      </c>
      <c r="B4974" s="4" t="s">
        <v>15632</v>
      </c>
      <c r="C4974" s="4" t="s">
        <v>25</v>
      </c>
      <c r="D4974" s="4" t="s">
        <v>26</v>
      </c>
      <c r="E4974" s="5" t="str">
        <f>"9290217"</f>
        <v>9290217</v>
      </c>
      <c r="F4974" s="3" t="s">
        <v>15864</v>
      </c>
      <c r="G4974" s="5">
        <v>2289027304</v>
      </c>
      <c r="H4974" s="4" t="s">
        <v>15865</v>
      </c>
      <c r="I4974" s="4" t="s">
        <v>15689</v>
      </c>
      <c r="J4974" s="4" t="s">
        <v>15866</v>
      </c>
      <c r="K4974" s="4" t="s">
        <v>15867</v>
      </c>
      <c r="L4974" s="5">
        <v>84600</v>
      </c>
    </row>
    <row r="4975" spans="1:12" x14ac:dyDescent="0.25">
      <c r="A4975" s="3" t="s">
        <v>15172</v>
      </c>
      <c r="B4975" s="4" t="s">
        <v>15632</v>
      </c>
      <c r="C4975" s="4" t="s">
        <v>25</v>
      </c>
      <c r="D4975" s="4" t="s">
        <v>26</v>
      </c>
      <c r="E4975" s="5" t="str">
        <f>"9290197"</f>
        <v>9290197</v>
      </c>
      <c r="F4975" s="3" t="s">
        <v>15868</v>
      </c>
      <c r="G4975" s="5">
        <v>2285360073</v>
      </c>
      <c r="H4975" s="4" t="s">
        <v>15869</v>
      </c>
      <c r="I4975" s="4" t="s">
        <v>15639</v>
      </c>
      <c r="J4975" s="4" t="s">
        <v>15870</v>
      </c>
      <c r="K4975" s="4" t="s">
        <v>15871</v>
      </c>
      <c r="L4975" s="5">
        <v>84300</v>
      </c>
    </row>
    <row r="4976" spans="1:12" x14ac:dyDescent="0.25">
      <c r="A4976" s="3" t="s">
        <v>15172</v>
      </c>
      <c r="B4976" s="4" t="s">
        <v>15632</v>
      </c>
      <c r="C4976" s="4" t="s">
        <v>25</v>
      </c>
      <c r="D4976" s="4" t="s">
        <v>26</v>
      </c>
      <c r="E4976" s="5" t="str">
        <f>"9290248"</f>
        <v>9290248</v>
      </c>
      <c r="F4976" s="3" t="s">
        <v>15872</v>
      </c>
      <c r="G4976" s="5">
        <v>2285023454</v>
      </c>
      <c r="H4976" s="4" t="s">
        <v>15873</v>
      </c>
      <c r="I4976" s="4" t="s">
        <v>15639</v>
      </c>
      <c r="J4976" s="4" t="s">
        <v>15768</v>
      </c>
      <c r="K4976" s="4" t="s">
        <v>8431</v>
      </c>
      <c r="L4976" s="5">
        <v>84300</v>
      </c>
    </row>
    <row r="4977" spans="1:12" x14ac:dyDescent="0.25">
      <c r="A4977" s="3" t="s">
        <v>15172</v>
      </c>
      <c r="B4977" s="4" t="s">
        <v>15632</v>
      </c>
      <c r="C4977" s="4" t="s">
        <v>25</v>
      </c>
      <c r="D4977" s="4" t="s">
        <v>26</v>
      </c>
      <c r="E4977" s="5" t="str">
        <f>"9290084"</f>
        <v>9290084</v>
      </c>
      <c r="F4977" s="3" t="s">
        <v>15874</v>
      </c>
      <c r="G4977" s="5">
        <v>2282023190</v>
      </c>
      <c r="H4977" s="4" t="s">
        <v>15875</v>
      </c>
      <c r="I4977" s="4" t="s">
        <v>15681</v>
      </c>
      <c r="J4977" s="4" t="s">
        <v>15876</v>
      </c>
      <c r="K4977" s="4" t="s">
        <v>15877</v>
      </c>
      <c r="L4977" s="5">
        <v>84500</v>
      </c>
    </row>
    <row r="4978" spans="1:12" x14ac:dyDescent="0.25">
      <c r="A4978" s="3" t="s">
        <v>15172</v>
      </c>
      <c r="B4978" s="4" t="s">
        <v>15632</v>
      </c>
      <c r="C4978" s="4" t="s">
        <v>14</v>
      </c>
      <c r="D4978" s="4" t="s">
        <v>15</v>
      </c>
      <c r="E4978" s="5" t="str">
        <f>"9290118"</f>
        <v>9290118</v>
      </c>
      <c r="F4978" s="3" t="s">
        <v>15878</v>
      </c>
      <c r="G4978" s="5">
        <v>2281031325</v>
      </c>
      <c r="H4978" s="4" t="s">
        <v>15879</v>
      </c>
      <c r="I4978" s="4" t="s">
        <v>15789</v>
      </c>
      <c r="J4978" s="4" t="s">
        <v>15880</v>
      </c>
      <c r="K4978" s="4" t="s">
        <v>15881</v>
      </c>
      <c r="L4978" s="5">
        <v>84006</v>
      </c>
    </row>
    <row r="4979" spans="1:12" x14ac:dyDescent="0.25">
      <c r="A4979" s="3" t="s">
        <v>15172</v>
      </c>
      <c r="B4979" s="4" t="s">
        <v>15632</v>
      </c>
      <c r="C4979" s="4" t="s">
        <v>25</v>
      </c>
      <c r="D4979" s="4" t="s">
        <v>26</v>
      </c>
      <c r="E4979" s="5" t="str">
        <f>"9290275"</f>
        <v>9290275</v>
      </c>
      <c r="F4979" s="3" t="s">
        <v>15882</v>
      </c>
      <c r="G4979" s="5">
        <v>2286081890</v>
      </c>
      <c r="H4979" s="4" t="s">
        <v>15883</v>
      </c>
      <c r="I4979" s="4" t="s">
        <v>15673</v>
      </c>
      <c r="J4979" s="4" t="s">
        <v>15884</v>
      </c>
      <c r="K4979" s="4" t="s">
        <v>15885</v>
      </c>
      <c r="L4979" s="5">
        <v>84703</v>
      </c>
    </row>
    <row r="4980" spans="1:12" x14ac:dyDescent="0.25">
      <c r="A4980" s="3" t="s">
        <v>15172</v>
      </c>
      <c r="B4980" s="4" t="s">
        <v>15632</v>
      </c>
      <c r="C4980" s="4" t="s">
        <v>14</v>
      </c>
      <c r="D4980" s="4" t="s">
        <v>15</v>
      </c>
      <c r="E4980" s="5" t="str">
        <f>"9290039"</f>
        <v>9290039</v>
      </c>
      <c r="F4980" s="3" t="s">
        <v>15886</v>
      </c>
      <c r="G4980" s="5">
        <v>2285022317</v>
      </c>
      <c r="H4980" s="4" t="s">
        <v>15887</v>
      </c>
      <c r="I4980" s="4" t="s">
        <v>15639</v>
      </c>
      <c r="J4980" s="4" t="s">
        <v>15871</v>
      </c>
      <c r="K4980" s="4" t="s">
        <v>15888</v>
      </c>
      <c r="L4980" s="5">
        <v>84300</v>
      </c>
    </row>
    <row r="4981" spans="1:12" x14ac:dyDescent="0.25">
      <c r="A4981" s="3" t="s">
        <v>15172</v>
      </c>
      <c r="B4981" s="4" t="s">
        <v>15632</v>
      </c>
      <c r="C4981" s="4" t="s">
        <v>25</v>
      </c>
      <c r="D4981" s="4" t="s">
        <v>26</v>
      </c>
      <c r="E4981" s="5" t="str">
        <f>"9290176"</f>
        <v>9290176</v>
      </c>
      <c r="F4981" s="3" t="s">
        <v>15889</v>
      </c>
      <c r="G4981" s="5">
        <v>2286023423</v>
      </c>
      <c r="H4981" s="4" t="s">
        <v>15890</v>
      </c>
      <c r="I4981" s="4" t="s">
        <v>15673</v>
      </c>
      <c r="J4981" s="4" t="s">
        <v>15891</v>
      </c>
      <c r="K4981" s="4" t="s">
        <v>15892</v>
      </c>
      <c r="L4981" s="5">
        <v>84700</v>
      </c>
    </row>
    <row r="4982" spans="1:12" x14ac:dyDescent="0.25">
      <c r="A4982" s="3" t="s">
        <v>15172</v>
      </c>
      <c r="B4982" s="4" t="s">
        <v>15632</v>
      </c>
      <c r="C4982" s="4" t="s">
        <v>25</v>
      </c>
      <c r="D4982" s="4" t="s">
        <v>26</v>
      </c>
      <c r="E4982" s="5" t="str">
        <f>"9290240"</f>
        <v>9290240</v>
      </c>
      <c r="F4982" s="3" t="s">
        <v>15893</v>
      </c>
      <c r="G4982" s="5">
        <v>2286031076</v>
      </c>
      <c r="H4982" s="4" t="s">
        <v>15894</v>
      </c>
      <c r="I4982" s="4" t="s">
        <v>15673</v>
      </c>
      <c r="J4982" s="4" t="s">
        <v>15895</v>
      </c>
      <c r="K4982" s="4" t="s">
        <v>15765</v>
      </c>
      <c r="L4982" s="5">
        <v>84700</v>
      </c>
    </row>
    <row r="4983" spans="1:12" x14ac:dyDescent="0.25">
      <c r="A4983" s="3" t="s">
        <v>15172</v>
      </c>
      <c r="B4983" s="4" t="s">
        <v>15632</v>
      </c>
      <c r="C4983" s="4" t="s">
        <v>14</v>
      </c>
      <c r="D4983" s="4" t="s">
        <v>15</v>
      </c>
      <c r="E4983" s="5" t="str">
        <f>"9290128"</f>
        <v>9290128</v>
      </c>
      <c r="F4983" s="3" t="s">
        <v>15896</v>
      </c>
      <c r="G4983" s="5">
        <v>2281088322</v>
      </c>
      <c r="H4983" s="4" t="s">
        <v>15897</v>
      </c>
      <c r="I4983" s="4" t="s">
        <v>15648</v>
      </c>
      <c r="J4983" s="4" t="s">
        <v>15898</v>
      </c>
      <c r="K4983" s="4" t="s">
        <v>15899</v>
      </c>
      <c r="L4983" s="5">
        <v>84100</v>
      </c>
    </row>
    <row r="4984" spans="1:12" x14ac:dyDescent="0.25">
      <c r="A4984" s="3" t="s">
        <v>15172</v>
      </c>
      <c r="B4984" s="4" t="s">
        <v>15632</v>
      </c>
      <c r="C4984" s="4" t="s">
        <v>14</v>
      </c>
      <c r="D4984" s="4" t="s">
        <v>15</v>
      </c>
      <c r="E4984" s="5" t="str">
        <f>"9290017"</f>
        <v>9290017</v>
      </c>
      <c r="F4984" s="3" t="s">
        <v>15900</v>
      </c>
      <c r="G4984" s="5">
        <v>2286022224</v>
      </c>
      <c r="H4984" s="4" t="s">
        <v>15901</v>
      </c>
      <c r="I4984" s="4" t="s">
        <v>15673</v>
      </c>
      <c r="J4984" s="4" t="s">
        <v>15892</v>
      </c>
      <c r="K4984" s="4" t="s">
        <v>15892</v>
      </c>
      <c r="L4984" s="5">
        <v>84700</v>
      </c>
    </row>
    <row r="4985" spans="1:12" x14ac:dyDescent="0.25">
      <c r="A4985" s="3" t="s">
        <v>15172</v>
      </c>
      <c r="B4985" s="4" t="s">
        <v>15632</v>
      </c>
      <c r="C4985" s="4" t="s">
        <v>25</v>
      </c>
      <c r="D4985" s="4" t="s">
        <v>26</v>
      </c>
      <c r="E4985" s="5" t="str">
        <f>"9290178"</f>
        <v>9290178</v>
      </c>
      <c r="F4985" s="3" t="s">
        <v>15902</v>
      </c>
      <c r="G4985" s="5">
        <v>2286091492</v>
      </c>
      <c r="H4985" s="4" t="s">
        <v>15903</v>
      </c>
      <c r="I4985" s="4" t="s">
        <v>15738</v>
      </c>
      <c r="J4985" s="4" t="s">
        <v>15904</v>
      </c>
      <c r="K4985" s="4" t="s">
        <v>15740</v>
      </c>
      <c r="L4985" s="5">
        <v>84001</v>
      </c>
    </row>
    <row r="4986" spans="1:12" x14ac:dyDescent="0.25">
      <c r="A4986" s="3" t="s">
        <v>15172</v>
      </c>
      <c r="B4986" s="4" t="s">
        <v>15632</v>
      </c>
      <c r="C4986" s="4" t="s">
        <v>25</v>
      </c>
      <c r="D4986" s="4" t="s">
        <v>26</v>
      </c>
      <c r="E4986" s="5" t="str">
        <f>"9290179"</f>
        <v>9290179</v>
      </c>
      <c r="F4986" s="3" t="s">
        <v>15905</v>
      </c>
      <c r="G4986" s="5">
        <v>2281085147</v>
      </c>
      <c r="H4986" s="4" t="s">
        <v>15906</v>
      </c>
      <c r="I4986" s="4" t="s">
        <v>15648</v>
      </c>
      <c r="J4986" s="4" t="s">
        <v>15907</v>
      </c>
      <c r="K4986" s="4" t="s">
        <v>15908</v>
      </c>
      <c r="L4986" s="5">
        <v>84100</v>
      </c>
    </row>
    <row r="4987" spans="1:12" x14ac:dyDescent="0.25">
      <c r="A4987" s="3" t="s">
        <v>15172</v>
      </c>
      <c r="B4987" s="4" t="s">
        <v>15632</v>
      </c>
      <c r="C4987" s="4" t="s">
        <v>25</v>
      </c>
      <c r="D4987" s="4" t="s">
        <v>26</v>
      </c>
      <c r="E4987" s="5" t="str">
        <f>"9290126"</f>
        <v>9290126</v>
      </c>
      <c r="F4987" s="3" t="s">
        <v>15909</v>
      </c>
      <c r="G4987" s="5">
        <v>2281088982</v>
      </c>
      <c r="H4987" s="4" t="s">
        <v>15910</v>
      </c>
      <c r="I4987" s="4" t="s">
        <v>15648</v>
      </c>
      <c r="J4987" s="4" t="s">
        <v>15898</v>
      </c>
      <c r="K4987" s="4" t="s">
        <v>963</v>
      </c>
      <c r="L4987" s="5">
        <v>84100</v>
      </c>
    </row>
    <row r="4988" spans="1:12" x14ac:dyDescent="0.25">
      <c r="A4988" s="3" t="s">
        <v>15172</v>
      </c>
      <c r="B4988" s="4" t="s">
        <v>15632</v>
      </c>
      <c r="C4988" s="4" t="s">
        <v>14</v>
      </c>
      <c r="D4988" s="4" t="s">
        <v>15</v>
      </c>
      <c r="E4988" s="5" t="str">
        <f>"9290040"</f>
        <v>9290040</v>
      </c>
      <c r="F4988" s="3" t="s">
        <v>15911</v>
      </c>
      <c r="G4988" s="5">
        <v>2285022778</v>
      </c>
      <c r="H4988" s="4" t="s">
        <v>15912</v>
      </c>
      <c r="I4988" s="4" t="s">
        <v>15639</v>
      </c>
      <c r="J4988" s="4" t="s">
        <v>15768</v>
      </c>
      <c r="K4988" s="4" t="s">
        <v>15871</v>
      </c>
      <c r="L4988" s="5">
        <v>84300</v>
      </c>
    </row>
    <row r="4989" spans="1:12" x14ac:dyDescent="0.25">
      <c r="A4989" s="3" t="s">
        <v>15172</v>
      </c>
      <c r="B4989" s="4" t="s">
        <v>15632</v>
      </c>
      <c r="C4989" s="4" t="s">
        <v>14</v>
      </c>
      <c r="D4989" s="4" t="s">
        <v>15</v>
      </c>
      <c r="E4989" s="5" t="str">
        <f>"9290001"</f>
        <v>9290001</v>
      </c>
      <c r="F4989" s="3" t="s">
        <v>15913</v>
      </c>
      <c r="G4989" s="5">
        <v>2285073148</v>
      </c>
      <c r="H4989" s="4" t="s">
        <v>15914</v>
      </c>
      <c r="I4989" s="4" t="s">
        <v>15915</v>
      </c>
      <c r="J4989" s="4" t="s">
        <v>15916</v>
      </c>
      <c r="K4989" s="4" t="s">
        <v>15917</v>
      </c>
      <c r="L4989" s="5">
        <v>84008</v>
      </c>
    </row>
    <row r="4990" spans="1:12" x14ac:dyDescent="0.25">
      <c r="A4990" s="3" t="s">
        <v>15172</v>
      </c>
      <c r="B4990" s="4" t="s">
        <v>15632</v>
      </c>
      <c r="C4990" s="4" t="s">
        <v>25</v>
      </c>
      <c r="D4990" s="4" t="s">
        <v>26</v>
      </c>
      <c r="E4990" s="5" t="str">
        <f>"9290194"</f>
        <v>9290194</v>
      </c>
      <c r="F4990" s="3" t="s">
        <v>15918</v>
      </c>
      <c r="G4990" s="5">
        <v>2284032208</v>
      </c>
      <c r="H4990" s="4" t="s">
        <v>15919</v>
      </c>
      <c r="I4990" s="4" t="s">
        <v>15706</v>
      </c>
      <c r="J4990" s="4" t="s">
        <v>15920</v>
      </c>
      <c r="K4990" s="4" t="s">
        <v>15921</v>
      </c>
      <c r="L4990" s="5">
        <v>84003</v>
      </c>
    </row>
    <row r="4991" spans="1:12" x14ac:dyDescent="0.25">
      <c r="A4991" s="3" t="s">
        <v>15172</v>
      </c>
      <c r="B4991" s="4" t="s">
        <v>15632</v>
      </c>
      <c r="C4991" s="4" t="s">
        <v>25</v>
      </c>
      <c r="D4991" s="4" t="s">
        <v>26</v>
      </c>
      <c r="E4991" s="5" t="str">
        <f>"9290064"</f>
        <v>9290064</v>
      </c>
      <c r="F4991" s="3" t="s">
        <v>15922</v>
      </c>
      <c r="G4991" s="5">
        <v>2285032660</v>
      </c>
      <c r="H4991" s="4" t="s">
        <v>15923</v>
      </c>
      <c r="I4991" s="4" t="s">
        <v>15639</v>
      </c>
      <c r="J4991" s="4" t="s">
        <v>15924</v>
      </c>
      <c r="K4991" s="4" t="s">
        <v>15924</v>
      </c>
      <c r="L4991" s="5">
        <v>84302</v>
      </c>
    </row>
    <row r="4992" spans="1:12" x14ac:dyDescent="0.25">
      <c r="A4992" s="3" t="s">
        <v>15172</v>
      </c>
      <c r="B4992" s="4" t="s">
        <v>15632</v>
      </c>
      <c r="C4992" s="4" t="s">
        <v>14</v>
      </c>
      <c r="D4992" s="4" t="s">
        <v>15</v>
      </c>
      <c r="E4992" s="5" t="str">
        <f>"9290106"</f>
        <v>9290106</v>
      </c>
      <c r="F4992" s="3" t="s">
        <v>15925</v>
      </c>
      <c r="G4992" s="5">
        <v>2282041238</v>
      </c>
      <c r="H4992" s="4" t="s">
        <v>15926</v>
      </c>
      <c r="I4992" s="4" t="s">
        <v>15681</v>
      </c>
      <c r="J4992" s="4" t="s">
        <v>15927</v>
      </c>
      <c r="K4992" s="4" t="s">
        <v>15928</v>
      </c>
      <c r="L4992" s="5">
        <v>84503</v>
      </c>
    </row>
    <row r="4993" spans="1:12" x14ac:dyDescent="0.25">
      <c r="A4993" s="3" t="s">
        <v>15172</v>
      </c>
      <c r="B4993" s="4" t="s">
        <v>15632</v>
      </c>
      <c r="C4993" s="4" t="s">
        <v>14</v>
      </c>
      <c r="D4993" s="4" t="s">
        <v>15</v>
      </c>
      <c r="E4993" s="5" t="str">
        <f>"9290003"</f>
        <v>9290003</v>
      </c>
      <c r="F4993" s="3" t="s">
        <v>15929</v>
      </c>
      <c r="G4993" s="5">
        <v>2286081112</v>
      </c>
      <c r="H4993" s="4" t="s">
        <v>15930</v>
      </c>
      <c r="I4993" s="4" t="s">
        <v>15673</v>
      </c>
      <c r="J4993" s="4" t="s">
        <v>15931</v>
      </c>
      <c r="K4993" s="4" t="s">
        <v>15932</v>
      </c>
      <c r="L4993" s="5">
        <v>84700</v>
      </c>
    </row>
    <row r="4994" spans="1:12" x14ac:dyDescent="0.25">
      <c r="A4994" s="3" t="s">
        <v>15172</v>
      </c>
      <c r="B4994" s="4" t="s">
        <v>15632</v>
      </c>
      <c r="C4994" s="4" t="s">
        <v>25</v>
      </c>
      <c r="D4994" s="4" t="s">
        <v>26</v>
      </c>
      <c r="E4994" s="5" t="str">
        <f>"9290203"</f>
        <v>9290203</v>
      </c>
      <c r="F4994" s="3" t="s">
        <v>15933</v>
      </c>
      <c r="G4994" s="5">
        <v>2285041339</v>
      </c>
      <c r="H4994" s="4" t="s">
        <v>15934</v>
      </c>
      <c r="I4994" s="4" t="s">
        <v>15639</v>
      </c>
      <c r="J4994" s="4" t="s">
        <v>15695</v>
      </c>
      <c r="K4994" s="4" t="s">
        <v>15695</v>
      </c>
      <c r="L4994" s="5">
        <v>84300</v>
      </c>
    </row>
    <row r="4995" spans="1:12" x14ac:dyDescent="0.25">
      <c r="A4995" s="3" t="s">
        <v>15172</v>
      </c>
      <c r="B4995" s="4" t="s">
        <v>15632</v>
      </c>
      <c r="C4995" s="4" t="s">
        <v>25</v>
      </c>
      <c r="D4995" s="4" t="s">
        <v>26</v>
      </c>
      <c r="E4995" s="5" t="str">
        <f>"9290272"</f>
        <v>9290272</v>
      </c>
      <c r="F4995" s="3" t="s">
        <v>15935</v>
      </c>
      <c r="G4995" s="5">
        <v>2286072384</v>
      </c>
      <c r="H4995" s="4" t="s">
        <v>15936</v>
      </c>
      <c r="I4995" s="4" t="s">
        <v>15673</v>
      </c>
      <c r="J4995" s="4" t="s">
        <v>15937</v>
      </c>
      <c r="K4995" s="4" t="s">
        <v>15852</v>
      </c>
      <c r="L4995" s="5">
        <v>84702</v>
      </c>
    </row>
    <row r="4996" spans="1:12" x14ac:dyDescent="0.25">
      <c r="A4996" s="3" t="s">
        <v>15172</v>
      </c>
      <c r="B4996" s="4" t="s">
        <v>15632</v>
      </c>
      <c r="C4996" s="4" t="s">
        <v>25</v>
      </c>
      <c r="D4996" s="4" t="s">
        <v>26</v>
      </c>
      <c r="E4996" s="5" t="str">
        <f>"9290177"</f>
        <v>9290177</v>
      </c>
      <c r="F4996" s="3" t="s">
        <v>15938</v>
      </c>
      <c r="G4996" s="5">
        <v>2286081113</v>
      </c>
      <c r="H4996" s="4" t="s">
        <v>15939</v>
      </c>
      <c r="I4996" s="4" t="s">
        <v>15673</v>
      </c>
      <c r="J4996" s="4" t="s">
        <v>15940</v>
      </c>
      <c r="K4996" s="4" t="s">
        <v>15820</v>
      </c>
      <c r="L4996" s="5">
        <v>84703</v>
      </c>
    </row>
    <row r="4997" spans="1:12" x14ac:dyDescent="0.25">
      <c r="A4997" s="3" t="s">
        <v>15172</v>
      </c>
      <c r="B4997" s="4" t="s">
        <v>15632</v>
      </c>
      <c r="C4997" s="4" t="s">
        <v>14</v>
      </c>
      <c r="D4997" s="4" t="s">
        <v>15</v>
      </c>
      <c r="E4997" s="5" t="str">
        <f>"9290027"</f>
        <v>9290027</v>
      </c>
      <c r="F4997" s="3" t="s">
        <v>15941</v>
      </c>
      <c r="G4997" s="5">
        <v>2286031067</v>
      </c>
      <c r="H4997" s="4" t="s">
        <v>15942</v>
      </c>
      <c r="I4997" s="4" t="s">
        <v>15673</v>
      </c>
      <c r="J4997" s="4" t="s">
        <v>15943</v>
      </c>
      <c r="K4997" s="4" t="s">
        <v>15728</v>
      </c>
      <c r="L4997" s="5">
        <v>84700</v>
      </c>
    </row>
    <row r="4998" spans="1:12" x14ac:dyDescent="0.25">
      <c r="A4998" s="3" t="s">
        <v>15172</v>
      </c>
      <c r="B4998" s="4" t="s">
        <v>15632</v>
      </c>
      <c r="C4998" s="4" t="s">
        <v>14</v>
      </c>
      <c r="D4998" s="4" t="s">
        <v>15</v>
      </c>
      <c r="E4998" s="5" t="str">
        <f>"9290074"</f>
        <v>9290074</v>
      </c>
      <c r="F4998" s="3" t="s">
        <v>15944</v>
      </c>
      <c r="G4998" s="5">
        <v>2284041643</v>
      </c>
      <c r="H4998" s="4" t="s">
        <v>15945</v>
      </c>
      <c r="I4998" s="4" t="s">
        <v>15635</v>
      </c>
      <c r="J4998" s="4" t="s">
        <v>15946</v>
      </c>
      <c r="K4998" s="4" t="s">
        <v>15947</v>
      </c>
      <c r="L4998" s="5">
        <v>84400</v>
      </c>
    </row>
    <row r="4999" spans="1:12" x14ac:dyDescent="0.25">
      <c r="A4999" s="3" t="s">
        <v>15172</v>
      </c>
      <c r="B4999" s="4" t="s">
        <v>15632</v>
      </c>
      <c r="C4999" s="4" t="s">
        <v>25</v>
      </c>
      <c r="D4999" s="4" t="s">
        <v>26</v>
      </c>
      <c r="E4999" s="5" t="str">
        <f>"9290232"</f>
        <v>9290232</v>
      </c>
      <c r="F4999" s="3" t="s">
        <v>15948</v>
      </c>
      <c r="G4999" s="5">
        <v>2289071160</v>
      </c>
      <c r="H4999" s="4" t="s">
        <v>15949</v>
      </c>
      <c r="I4999" s="4" t="s">
        <v>15689</v>
      </c>
      <c r="J4999" s="4" t="s">
        <v>15950</v>
      </c>
      <c r="K4999" s="4" t="s">
        <v>15951</v>
      </c>
      <c r="L4999" s="5">
        <v>84600</v>
      </c>
    </row>
    <row r="5000" spans="1:12" x14ac:dyDescent="0.25">
      <c r="A5000" s="3" t="s">
        <v>15172</v>
      </c>
      <c r="B5000" s="4" t="s">
        <v>15632</v>
      </c>
      <c r="C5000" s="4" t="s">
        <v>25</v>
      </c>
      <c r="D5000" s="4" t="s">
        <v>26</v>
      </c>
      <c r="E5000" s="5" t="str">
        <f>"9521240"</f>
        <v>9521240</v>
      </c>
      <c r="F5000" s="3" t="s">
        <v>15952</v>
      </c>
      <c r="G5000" s="5">
        <v>2284025063</v>
      </c>
      <c r="H5000" s="4" t="s">
        <v>15953</v>
      </c>
      <c r="I5000" s="4" t="s">
        <v>15635</v>
      </c>
      <c r="J5000" s="4" t="s">
        <v>15954</v>
      </c>
      <c r="K5000" s="4" t="s">
        <v>15860</v>
      </c>
      <c r="L5000" s="5">
        <v>84400</v>
      </c>
    </row>
    <row r="5001" spans="1:12" x14ac:dyDescent="0.25">
      <c r="A5001" s="3" t="s">
        <v>15172</v>
      </c>
      <c r="B5001" s="4" t="s">
        <v>15632</v>
      </c>
      <c r="C5001" s="4" t="s">
        <v>25</v>
      </c>
      <c r="D5001" s="4" t="s">
        <v>26</v>
      </c>
      <c r="E5001" s="5" t="str">
        <f>"9521457"</f>
        <v>9521457</v>
      </c>
      <c r="F5001" s="3" t="s">
        <v>15955</v>
      </c>
      <c r="G5001" s="5">
        <v>2285360007</v>
      </c>
      <c r="H5001" s="4" t="s">
        <v>15956</v>
      </c>
      <c r="I5001" s="4" t="s">
        <v>15639</v>
      </c>
      <c r="J5001" s="4" t="s">
        <v>15870</v>
      </c>
      <c r="K5001" s="4" t="s">
        <v>15957</v>
      </c>
      <c r="L5001" s="5">
        <v>84300</v>
      </c>
    </row>
    <row r="5002" spans="1:12" x14ac:dyDescent="0.25">
      <c r="A5002" s="3" t="s">
        <v>15172</v>
      </c>
      <c r="B5002" s="4" t="s">
        <v>15632</v>
      </c>
      <c r="C5002" s="4" t="s">
        <v>25</v>
      </c>
      <c r="D5002" s="4" t="s">
        <v>26</v>
      </c>
      <c r="E5002" s="5" t="str">
        <f>"9521458"</f>
        <v>9521458</v>
      </c>
      <c r="F5002" s="3" t="s">
        <v>15958</v>
      </c>
      <c r="G5002" s="5">
        <v>2285360098</v>
      </c>
      <c r="H5002" s="4" t="s">
        <v>15959</v>
      </c>
      <c r="I5002" s="4" t="s">
        <v>15639</v>
      </c>
      <c r="J5002" s="4" t="s">
        <v>15870</v>
      </c>
      <c r="K5002" s="4" t="s">
        <v>15957</v>
      </c>
      <c r="L5002" s="5">
        <v>84300</v>
      </c>
    </row>
    <row r="5003" spans="1:12" x14ac:dyDescent="0.25">
      <c r="A5003" s="3" t="s">
        <v>15172</v>
      </c>
      <c r="B5003" s="4" t="s">
        <v>15632</v>
      </c>
      <c r="C5003" s="4" t="s">
        <v>25</v>
      </c>
      <c r="D5003" s="4" t="s">
        <v>26</v>
      </c>
      <c r="E5003" s="5" t="str">
        <f>"9521460"</f>
        <v>9521460</v>
      </c>
      <c r="F5003" s="3" t="s">
        <v>15960</v>
      </c>
      <c r="G5003" s="5">
        <v>2286022544</v>
      </c>
      <c r="H5003" s="4" t="s">
        <v>15961</v>
      </c>
      <c r="I5003" s="4" t="s">
        <v>15673</v>
      </c>
      <c r="J5003" s="4" t="s">
        <v>15962</v>
      </c>
      <c r="K5003" s="4" t="s">
        <v>15963</v>
      </c>
      <c r="L5003" s="5">
        <v>84700</v>
      </c>
    </row>
    <row r="5004" spans="1:12" x14ac:dyDescent="0.25">
      <c r="A5004" s="3" t="s">
        <v>15172</v>
      </c>
      <c r="B5004" s="4" t="s">
        <v>15632</v>
      </c>
      <c r="C5004" s="4" t="s">
        <v>14</v>
      </c>
      <c r="D5004" s="4" t="s">
        <v>15</v>
      </c>
      <c r="E5004" s="5" t="str">
        <f>"9521419"</f>
        <v>9521419</v>
      </c>
      <c r="F5004" s="3" t="s">
        <v>15964</v>
      </c>
      <c r="G5004" s="5">
        <v>2285027015</v>
      </c>
      <c r="H5004" s="4" t="s">
        <v>15965</v>
      </c>
      <c r="I5004" s="4" t="s">
        <v>15639</v>
      </c>
      <c r="J5004" s="4" t="s">
        <v>15768</v>
      </c>
      <c r="K5004" s="4" t="s">
        <v>6729</v>
      </c>
      <c r="L5004" s="5">
        <v>84300</v>
      </c>
    </row>
    <row r="5005" spans="1:12" x14ac:dyDescent="0.25">
      <c r="A5005" s="3" t="s">
        <v>15172</v>
      </c>
      <c r="B5005" s="4" t="s">
        <v>15632</v>
      </c>
      <c r="C5005" s="4" t="s">
        <v>14</v>
      </c>
      <c r="D5005" s="4" t="s">
        <v>15</v>
      </c>
      <c r="E5005" s="5" t="str">
        <f>"9521633"</f>
        <v>9521633</v>
      </c>
      <c r="F5005" s="3" t="s">
        <v>15966</v>
      </c>
      <c r="G5005" s="5">
        <v>2283026230</v>
      </c>
      <c r="H5005" s="4" t="s">
        <v>15967</v>
      </c>
      <c r="I5005" s="4" t="s">
        <v>15658</v>
      </c>
      <c r="J5005" s="4" t="s">
        <v>15805</v>
      </c>
      <c r="K5005" s="4" t="s">
        <v>15968</v>
      </c>
      <c r="L5005" s="5">
        <v>84200</v>
      </c>
    </row>
    <row r="5006" spans="1:12" x14ac:dyDescent="0.25">
      <c r="A5006" s="3" t="s">
        <v>15172</v>
      </c>
      <c r="B5006" s="4" t="s">
        <v>15632</v>
      </c>
      <c r="C5006" s="4" t="s">
        <v>25</v>
      </c>
      <c r="D5006" s="4" t="s">
        <v>26</v>
      </c>
      <c r="E5006" s="5" t="str">
        <f>"9290173"</f>
        <v>9290173</v>
      </c>
      <c r="F5006" s="3" t="s">
        <v>15969</v>
      </c>
      <c r="G5006" s="5">
        <v>2287028107</v>
      </c>
      <c r="H5006" s="4" t="s">
        <v>15970</v>
      </c>
      <c r="I5006" s="4" t="s">
        <v>15653</v>
      </c>
      <c r="J5006" s="4" t="s">
        <v>15971</v>
      </c>
      <c r="K5006" s="4" t="s">
        <v>15972</v>
      </c>
      <c r="L5006" s="5">
        <v>84800</v>
      </c>
    </row>
    <row r="5007" spans="1:12" x14ac:dyDescent="0.25">
      <c r="A5007" s="3" t="s">
        <v>15973</v>
      </c>
      <c r="B5007" s="4" t="s">
        <v>15974</v>
      </c>
      <c r="C5007" s="4" t="s">
        <v>14</v>
      </c>
      <c r="D5007" s="4" t="s">
        <v>15</v>
      </c>
      <c r="E5007" s="5" t="str">
        <f>"9020115"</f>
        <v>9020115</v>
      </c>
      <c r="F5007" s="3" t="s">
        <v>15975</v>
      </c>
      <c r="G5007" s="5">
        <v>2753041220</v>
      </c>
      <c r="H5007" s="4" t="s">
        <v>15976</v>
      </c>
      <c r="I5007" s="4" t="s">
        <v>15977</v>
      </c>
      <c r="J5007" s="4" t="s">
        <v>15978</v>
      </c>
      <c r="K5007" s="4" t="s">
        <v>15979</v>
      </c>
      <c r="L5007" s="5">
        <v>21059</v>
      </c>
    </row>
    <row r="5008" spans="1:12" x14ac:dyDescent="0.25">
      <c r="A5008" s="3" t="s">
        <v>15973</v>
      </c>
      <c r="B5008" s="4" t="s">
        <v>15974</v>
      </c>
      <c r="C5008" s="4" t="s">
        <v>14</v>
      </c>
      <c r="D5008" s="4" t="s">
        <v>15</v>
      </c>
      <c r="E5008" s="5" t="str">
        <f>"9020002"</f>
        <v>9020002</v>
      </c>
      <c r="F5008" s="3" t="s">
        <v>15980</v>
      </c>
      <c r="G5008" s="5">
        <v>2751068651</v>
      </c>
      <c r="H5008" s="4" t="s">
        <v>15981</v>
      </c>
      <c r="I5008" s="4" t="s">
        <v>15982</v>
      </c>
      <c r="J5008" s="4" t="s">
        <v>15983</v>
      </c>
      <c r="K5008" s="4" t="s">
        <v>15984</v>
      </c>
      <c r="L5008" s="5">
        <v>21232</v>
      </c>
    </row>
    <row r="5009" spans="1:12" x14ac:dyDescent="0.25">
      <c r="A5009" s="3" t="s">
        <v>15973</v>
      </c>
      <c r="B5009" s="4" t="s">
        <v>15974</v>
      </c>
      <c r="C5009" s="4" t="s">
        <v>25</v>
      </c>
      <c r="D5009" s="4" t="s">
        <v>26</v>
      </c>
      <c r="E5009" s="5" t="str">
        <f>"9020171"</f>
        <v>9020171</v>
      </c>
      <c r="F5009" s="3" t="s">
        <v>15985</v>
      </c>
      <c r="G5009" s="5">
        <v>2754051586</v>
      </c>
      <c r="H5009" s="4" t="s">
        <v>15986</v>
      </c>
      <c r="I5009" s="4" t="s">
        <v>15987</v>
      </c>
      <c r="J5009" s="4" t="s">
        <v>15988</v>
      </c>
      <c r="K5009" s="4" t="s">
        <v>15989</v>
      </c>
      <c r="L5009" s="5">
        <v>21061</v>
      </c>
    </row>
    <row r="5010" spans="1:12" x14ac:dyDescent="0.25">
      <c r="A5010" s="3" t="s">
        <v>15973</v>
      </c>
      <c r="B5010" s="4" t="s">
        <v>15974</v>
      </c>
      <c r="C5010" s="4" t="s">
        <v>14</v>
      </c>
      <c r="D5010" s="4" t="s">
        <v>15</v>
      </c>
      <c r="E5010" s="5" t="str">
        <f>"9020547"</f>
        <v>9020547</v>
      </c>
      <c r="F5010" s="3" t="s">
        <v>15990</v>
      </c>
      <c r="G5010" s="5">
        <v>2752024287</v>
      </c>
      <c r="H5010" s="4" t="s">
        <v>15991</v>
      </c>
      <c r="I5010" s="4" t="s">
        <v>15992</v>
      </c>
      <c r="J5010" s="4" t="s">
        <v>15993</v>
      </c>
      <c r="K5010" s="4" t="s">
        <v>15994</v>
      </c>
      <c r="L5010" s="5">
        <v>21100</v>
      </c>
    </row>
    <row r="5011" spans="1:12" x14ac:dyDescent="0.25">
      <c r="A5011" s="3" t="s">
        <v>15973</v>
      </c>
      <c r="B5011" s="4" t="s">
        <v>15974</v>
      </c>
      <c r="C5011" s="4" t="s">
        <v>14</v>
      </c>
      <c r="D5011" s="4" t="s">
        <v>15</v>
      </c>
      <c r="E5011" s="5" t="str">
        <f>"9020086"</f>
        <v>9020086</v>
      </c>
      <c r="F5011" s="3" t="s">
        <v>15995</v>
      </c>
      <c r="G5011" s="5">
        <v>2752044141</v>
      </c>
      <c r="H5011" s="4" t="s">
        <v>15996</v>
      </c>
      <c r="I5011" s="4" t="s">
        <v>15992</v>
      </c>
      <c r="J5011" s="4" t="s">
        <v>15997</v>
      </c>
      <c r="K5011" s="4" t="s">
        <v>15998</v>
      </c>
      <c r="L5011" s="5">
        <v>21055</v>
      </c>
    </row>
    <row r="5012" spans="1:12" x14ac:dyDescent="0.25">
      <c r="A5012" s="3" t="s">
        <v>15973</v>
      </c>
      <c r="B5012" s="4" t="s">
        <v>15974</v>
      </c>
      <c r="C5012" s="4" t="s">
        <v>14</v>
      </c>
      <c r="D5012" s="4" t="s">
        <v>15</v>
      </c>
      <c r="E5012" s="5" t="str">
        <f>"9020080"</f>
        <v>9020080</v>
      </c>
      <c r="F5012" s="3" t="s">
        <v>15999</v>
      </c>
      <c r="G5012" s="5">
        <v>2752044346</v>
      </c>
      <c r="H5012" s="4" t="s">
        <v>16000</v>
      </c>
      <c r="I5012" s="4" t="s">
        <v>15992</v>
      </c>
      <c r="J5012" s="4" t="s">
        <v>11371</v>
      </c>
      <c r="K5012" s="4" t="s">
        <v>11371</v>
      </c>
      <c r="L5012" s="5">
        <v>21055</v>
      </c>
    </row>
    <row r="5013" spans="1:12" x14ac:dyDescent="0.25">
      <c r="A5013" s="3" t="s">
        <v>15973</v>
      </c>
      <c r="B5013" s="4" t="s">
        <v>15974</v>
      </c>
      <c r="C5013" s="4" t="s">
        <v>14</v>
      </c>
      <c r="D5013" s="4" t="s">
        <v>15</v>
      </c>
      <c r="E5013" s="5" t="str">
        <f>"9020005"</f>
        <v>9020005</v>
      </c>
      <c r="F5013" s="3" t="s">
        <v>16001</v>
      </c>
      <c r="G5013" s="5">
        <v>2751068862</v>
      </c>
      <c r="H5013" s="4" t="s">
        <v>16002</v>
      </c>
      <c r="I5013" s="4" t="s">
        <v>15982</v>
      </c>
      <c r="J5013" s="4" t="s">
        <v>16003</v>
      </c>
      <c r="K5013" s="4" t="s">
        <v>16004</v>
      </c>
      <c r="L5013" s="5">
        <v>21323</v>
      </c>
    </row>
    <row r="5014" spans="1:12" x14ac:dyDescent="0.25">
      <c r="A5014" s="3" t="s">
        <v>15973</v>
      </c>
      <c r="B5014" s="4" t="s">
        <v>15974</v>
      </c>
      <c r="C5014" s="4" t="s">
        <v>14</v>
      </c>
      <c r="D5014" s="4" t="s">
        <v>15</v>
      </c>
      <c r="E5014" s="5" t="str">
        <f>"9020119"</f>
        <v>9020119</v>
      </c>
      <c r="F5014" s="3" t="s">
        <v>16005</v>
      </c>
      <c r="G5014" s="5">
        <v>2752059388</v>
      </c>
      <c r="H5014" s="4" t="s">
        <v>16006</v>
      </c>
      <c r="I5014" s="4" t="s">
        <v>15992</v>
      </c>
      <c r="J5014" s="4" t="s">
        <v>16007</v>
      </c>
      <c r="K5014" s="4" t="s">
        <v>16007</v>
      </c>
      <c r="L5014" s="5">
        <v>21056</v>
      </c>
    </row>
    <row r="5015" spans="1:12" x14ac:dyDescent="0.25">
      <c r="A5015" s="3" t="s">
        <v>15973</v>
      </c>
      <c r="B5015" s="4" t="s">
        <v>15974</v>
      </c>
      <c r="C5015" s="4" t="s">
        <v>25</v>
      </c>
      <c r="D5015" s="4" t="s">
        <v>26</v>
      </c>
      <c r="E5015" s="5" t="str">
        <f>"9020134"</f>
        <v>9020134</v>
      </c>
      <c r="F5015" s="3" t="s">
        <v>16008</v>
      </c>
      <c r="G5015" s="5">
        <v>2751024773</v>
      </c>
      <c r="H5015" s="4" t="s">
        <v>16009</v>
      </c>
      <c r="I5015" s="4" t="s">
        <v>15982</v>
      </c>
      <c r="J5015" s="4" t="s">
        <v>16010</v>
      </c>
      <c r="K5015" s="4" t="s">
        <v>16011</v>
      </c>
      <c r="L5015" s="5">
        <v>21200</v>
      </c>
    </row>
    <row r="5016" spans="1:12" x14ac:dyDescent="0.25">
      <c r="A5016" s="3" t="s">
        <v>15973</v>
      </c>
      <c r="B5016" s="4" t="s">
        <v>15974</v>
      </c>
      <c r="C5016" s="4" t="s">
        <v>14</v>
      </c>
      <c r="D5016" s="4" t="s">
        <v>15</v>
      </c>
      <c r="E5016" s="5" t="str">
        <f>"9020184"</f>
        <v>9020184</v>
      </c>
      <c r="F5016" s="3" t="s">
        <v>16012</v>
      </c>
      <c r="G5016" s="5">
        <v>2752026332</v>
      </c>
      <c r="H5016" s="4" t="s">
        <v>16013</v>
      </c>
      <c r="I5016" s="4" t="s">
        <v>15992</v>
      </c>
      <c r="J5016" s="4" t="s">
        <v>15993</v>
      </c>
      <c r="K5016" s="4" t="s">
        <v>16014</v>
      </c>
      <c r="L5016" s="5">
        <v>21100</v>
      </c>
    </row>
    <row r="5017" spans="1:12" x14ac:dyDescent="0.25">
      <c r="A5017" s="3" t="s">
        <v>15973</v>
      </c>
      <c r="B5017" s="4" t="s">
        <v>15974</v>
      </c>
      <c r="C5017" s="4" t="s">
        <v>25</v>
      </c>
      <c r="D5017" s="4" t="s">
        <v>26</v>
      </c>
      <c r="E5017" s="5" t="str">
        <f>"9020078"</f>
        <v>9020078</v>
      </c>
      <c r="F5017" s="3" t="s">
        <v>16015</v>
      </c>
      <c r="G5017" s="5">
        <v>2752028838</v>
      </c>
      <c r="H5017" s="4" t="s">
        <v>16016</v>
      </c>
      <c r="I5017" s="4" t="s">
        <v>15992</v>
      </c>
      <c r="J5017" s="4" t="s">
        <v>15993</v>
      </c>
      <c r="K5017" s="4" t="s">
        <v>16017</v>
      </c>
      <c r="L5017" s="5">
        <v>21100</v>
      </c>
    </row>
    <row r="5018" spans="1:12" x14ac:dyDescent="0.25">
      <c r="A5018" s="3" t="s">
        <v>15973</v>
      </c>
      <c r="B5018" s="4" t="s">
        <v>15974</v>
      </c>
      <c r="C5018" s="4" t="s">
        <v>25</v>
      </c>
      <c r="D5018" s="4" t="s">
        <v>26</v>
      </c>
      <c r="E5018" s="5" t="str">
        <f>"9020186"</f>
        <v>9020186</v>
      </c>
      <c r="F5018" s="3" t="s">
        <v>16018</v>
      </c>
      <c r="G5018" s="5">
        <v>2752028937</v>
      </c>
      <c r="H5018" s="4" t="s">
        <v>16019</v>
      </c>
      <c r="I5018" s="4" t="s">
        <v>15992</v>
      </c>
      <c r="J5018" s="4" t="s">
        <v>16020</v>
      </c>
      <c r="K5018" s="4" t="s">
        <v>16021</v>
      </c>
      <c r="L5018" s="5">
        <v>21100</v>
      </c>
    </row>
    <row r="5019" spans="1:12" x14ac:dyDescent="0.25">
      <c r="A5019" s="3" t="s">
        <v>15973</v>
      </c>
      <c r="B5019" s="4" t="s">
        <v>15974</v>
      </c>
      <c r="C5019" s="4" t="s">
        <v>25</v>
      </c>
      <c r="D5019" s="4" t="s">
        <v>26</v>
      </c>
      <c r="E5019" s="5" t="str">
        <f>"9020128"</f>
        <v>9020128</v>
      </c>
      <c r="F5019" s="3" t="s">
        <v>16022</v>
      </c>
      <c r="G5019" s="5">
        <v>2751020218</v>
      </c>
      <c r="H5019" s="4" t="s">
        <v>16023</v>
      </c>
      <c r="I5019" s="4" t="s">
        <v>15982</v>
      </c>
      <c r="J5019" s="4" t="s">
        <v>16003</v>
      </c>
      <c r="K5019" s="4" t="s">
        <v>16024</v>
      </c>
      <c r="L5019" s="5">
        <v>21200</v>
      </c>
    </row>
    <row r="5020" spans="1:12" x14ac:dyDescent="0.25">
      <c r="A5020" s="3" t="s">
        <v>15973</v>
      </c>
      <c r="B5020" s="4" t="s">
        <v>15974</v>
      </c>
      <c r="C5020" s="4" t="s">
        <v>14</v>
      </c>
      <c r="D5020" s="4" t="s">
        <v>15</v>
      </c>
      <c r="E5020" s="5" t="str">
        <f>"9020059"</f>
        <v>9020059</v>
      </c>
      <c r="F5020" s="3" t="s">
        <v>16025</v>
      </c>
      <c r="G5020" s="5">
        <v>2754021478</v>
      </c>
      <c r="H5020" s="4" t="s">
        <v>16026</v>
      </c>
      <c r="I5020" s="4" t="s">
        <v>15987</v>
      </c>
      <c r="J5020" s="4" t="s">
        <v>16027</v>
      </c>
      <c r="K5020" s="4" t="s">
        <v>16028</v>
      </c>
      <c r="L5020" s="5">
        <v>21300</v>
      </c>
    </row>
    <row r="5021" spans="1:12" x14ac:dyDescent="0.25">
      <c r="A5021" s="3" t="s">
        <v>15973</v>
      </c>
      <c r="B5021" s="4" t="s">
        <v>15974</v>
      </c>
      <c r="C5021" s="4" t="s">
        <v>14</v>
      </c>
      <c r="D5021" s="4" t="s">
        <v>15</v>
      </c>
      <c r="E5021" s="5" t="str">
        <f>"9020066"</f>
        <v>9020066</v>
      </c>
      <c r="F5021" s="3" t="s">
        <v>16029</v>
      </c>
      <c r="G5021" s="5">
        <v>2754031239</v>
      </c>
      <c r="H5021" s="4" t="s">
        <v>16030</v>
      </c>
      <c r="I5021" s="4" t="s">
        <v>15987</v>
      </c>
      <c r="J5021" s="4" t="s">
        <v>16031</v>
      </c>
      <c r="K5021" s="4" t="s">
        <v>16031</v>
      </c>
      <c r="L5021" s="5">
        <v>21051</v>
      </c>
    </row>
    <row r="5022" spans="1:12" x14ac:dyDescent="0.25">
      <c r="A5022" s="3" t="s">
        <v>15973</v>
      </c>
      <c r="B5022" s="4" t="s">
        <v>15974</v>
      </c>
      <c r="C5022" s="4" t="s">
        <v>25</v>
      </c>
      <c r="D5022" s="4" t="s">
        <v>26</v>
      </c>
      <c r="E5022" s="5" t="str">
        <f>"9020058"</f>
        <v>9020058</v>
      </c>
      <c r="F5022" s="3" t="s">
        <v>16032</v>
      </c>
      <c r="G5022" s="5">
        <v>2754021577</v>
      </c>
      <c r="H5022" s="4" t="s">
        <v>16033</v>
      </c>
      <c r="I5022" s="4" t="s">
        <v>15987</v>
      </c>
      <c r="J5022" s="4" t="s">
        <v>16034</v>
      </c>
      <c r="K5022" s="4" t="s">
        <v>16027</v>
      </c>
      <c r="L5022" s="5">
        <v>21300</v>
      </c>
    </row>
    <row r="5023" spans="1:12" x14ac:dyDescent="0.25">
      <c r="A5023" s="3" t="s">
        <v>15973</v>
      </c>
      <c r="B5023" s="4" t="s">
        <v>15974</v>
      </c>
      <c r="C5023" s="4" t="s">
        <v>14</v>
      </c>
      <c r="D5023" s="4" t="s">
        <v>15</v>
      </c>
      <c r="E5023" s="5" t="str">
        <f>"9020077"</f>
        <v>9020077</v>
      </c>
      <c r="F5023" s="3" t="s">
        <v>16035</v>
      </c>
      <c r="G5023" s="5">
        <v>2752028193</v>
      </c>
      <c r="H5023" s="4" t="s">
        <v>16036</v>
      </c>
      <c r="I5023" s="4" t="s">
        <v>15992</v>
      </c>
      <c r="J5023" s="4" t="s">
        <v>15993</v>
      </c>
      <c r="K5023" s="4" t="s">
        <v>16037</v>
      </c>
      <c r="L5023" s="5">
        <v>21100</v>
      </c>
    </row>
    <row r="5024" spans="1:12" x14ac:dyDescent="0.25">
      <c r="A5024" s="3" t="s">
        <v>15973</v>
      </c>
      <c r="B5024" s="4" t="s">
        <v>15974</v>
      </c>
      <c r="C5024" s="4" t="s">
        <v>25</v>
      </c>
      <c r="D5024" s="4" t="s">
        <v>26</v>
      </c>
      <c r="E5024" s="5" t="str">
        <f>"9020127"</f>
        <v>9020127</v>
      </c>
      <c r="F5024" s="3" t="s">
        <v>16038</v>
      </c>
      <c r="G5024" s="5">
        <v>2751021889</v>
      </c>
      <c r="H5024" s="4" t="s">
        <v>16039</v>
      </c>
      <c r="I5024" s="4" t="s">
        <v>15982</v>
      </c>
      <c r="J5024" s="4" t="s">
        <v>16010</v>
      </c>
      <c r="K5024" s="4" t="s">
        <v>16040</v>
      </c>
      <c r="L5024" s="5">
        <v>21200</v>
      </c>
    </row>
    <row r="5025" spans="1:12" x14ac:dyDescent="0.25">
      <c r="A5025" s="3" t="s">
        <v>15973</v>
      </c>
      <c r="B5025" s="4" t="s">
        <v>15974</v>
      </c>
      <c r="C5025" s="4" t="s">
        <v>25</v>
      </c>
      <c r="D5025" s="4" t="s">
        <v>26</v>
      </c>
      <c r="E5025" s="5" t="str">
        <f>"9020105"</f>
        <v>9020105</v>
      </c>
      <c r="F5025" s="3" t="s">
        <v>16041</v>
      </c>
      <c r="G5025" s="5">
        <v>2753022922</v>
      </c>
      <c r="H5025" s="4" t="s">
        <v>16042</v>
      </c>
      <c r="I5025" s="4" t="s">
        <v>15977</v>
      </c>
      <c r="J5025" s="4" t="s">
        <v>16043</v>
      </c>
      <c r="K5025" s="4" t="s">
        <v>16044</v>
      </c>
      <c r="L5025" s="5">
        <v>21052</v>
      </c>
    </row>
    <row r="5026" spans="1:12" x14ac:dyDescent="0.25">
      <c r="A5026" s="3" t="s">
        <v>15973</v>
      </c>
      <c r="B5026" s="4" t="s">
        <v>15974</v>
      </c>
      <c r="C5026" s="4" t="s">
        <v>14</v>
      </c>
      <c r="D5026" s="4" t="s">
        <v>15</v>
      </c>
      <c r="E5026" s="5" t="str">
        <f>"9020092"</f>
        <v>9020092</v>
      </c>
      <c r="F5026" s="3" t="s">
        <v>16045</v>
      </c>
      <c r="G5026" s="5">
        <v>2752027997</v>
      </c>
      <c r="H5026" s="4" t="s">
        <v>16046</v>
      </c>
      <c r="I5026" s="4" t="s">
        <v>15992</v>
      </c>
      <c r="J5026" s="4" t="s">
        <v>15993</v>
      </c>
      <c r="K5026" s="4" t="s">
        <v>16047</v>
      </c>
      <c r="L5026" s="5">
        <v>21100</v>
      </c>
    </row>
    <row r="5027" spans="1:12" x14ac:dyDescent="0.25">
      <c r="A5027" s="3" t="s">
        <v>15973</v>
      </c>
      <c r="B5027" s="4" t="s">
        <v>15974</v>
      </c>
      <c r="C5027" s="4" t="s">
        <v>14</v>
      </c>
      <c r="D5027" s="4" t="s">
        <v>15</v>
      </c>
      <c r="E5027" s="5" t="str">
        <f>"9020081"</f>
        <v>9020081</v>
      </c>
      <c r="F5027" s="3" t="s">
        <v>16048</v>
      </c>
      <c r="G5027" s="5">
        <v>2752180014</v>
      </c>
      <c r="H5027" s="4" t="s">
        <v>16049</v>
      </c>
      <c r="I5027" s="4" t="s">
        <v>15992</v>
      </c>
      <c r="J5027" s="4"/>
      <c r="K5027" s="4" t="s">
        <v>16050</v>
      </c>
      <c r="L5027" s="5">
        <v>21100</v>
      </c>
    </row>
    <row r="5028" spans="1:12" x14ac:dyDescent="0.25">
      <c r="A5028" s="3" t="s">
        <v>15973</v>
      </c>
      <c r="B5028" s="4" t="s">
        <v>15974</v>
      </c>
      <c r="C5028" s="4" t="s">
        <v>14</v>
      </c>
      <c r="D5028" s="4" t="s">
        <v>15</v>
      </c>
      <c r="E5028" s="5" t="str">
        <f>"9020112"</f>
        <v>9020112</v>
      </c>
      <c r="F5028" s="3" t="s">
        <v>16051</v>
      </c>
      <c r="G5028" s="5">
        <v>2752036336</v>
      </c>
      <c r="H5028" s="4" t="s">
        <v>16052</v>
      </c>
      <c r="I5028" s="4" t="s">
        <v>15992</v>
      </c>
      <c r="J5028" s="4" t="s">
        <v>16053</v>
      </c>
      <c r="K5028" s="4" t="s">
        <v>16053</v>
      </c>
      <c r="L5028" s="5">
        <v>21100</v>
      </c>
    </row>
    <row r="5029" spans="1:12" x14ac:dyDescent="0.25">
      <c r="A5029" s="3" t="s">
        <v>15973</v>
      </c>
      <c r="B5029" s="4" t="s">
        <v>15974</v>
      </c>
      <c r="C5029" s="4" t="s">
        <v>25</v>
      </c>
      <c r="D5029" s="4" t="s">
        <v>26</v>
      </c>
      <c r="E5029" s="5" t="str">
        <f>"9020145"</f>
        <v>9020145</v>
      </c>
      <c r="F5029" s="3" t="s">
        <v>16054</v>
      </c>
      <c r="G5029" s="5">
        <v>2752036501</v>
      </c>
      <c r="H5029" s="4" t="s">
        <v>16055</v>
      </c>
      <c r="I5029" s="4" t="s">
        <v>15992</v>
      </c>
      <c r="J5029" s="4" t="s">
        <v>16056</v>
      </c>
      <c r="K5029" s="4" t="s">
        <v>16053</v>
      </c>
      <c r="L5029" s="5">
        <v>21100</v>
      </c>
    </row>
    <row r="5030" spans="1:12" x14ac:dyDescent="0.25">
      <c r="A5030" s="3" t="s">
        <v>15973</v>
      </c>
      <c r="B5030" s="4" t="s">
        <v>15974</v>
      </c>
      <c r="C5030" s="4" t="s">
        <v>25</v>
      </c>
      <c r="D5030" s="4" t="s">
        <v>26</v>
      </c>
      <c r="E5030" s="5" t="str">
        <f>"9020074"</f>
        <v>9020074</v>
      </c>
      <c r="F5030" s="3" t="s">
        <v>16057</v>
      </c>
      <c r="G5030" s="5">
        <v>2752023643</v>
      </c>
      <c r="H5030" s="4" t="s">
        <v>16058</v>
      </c>
      <c r="I5030" s="4" t="s">
        <v>15992</v>
      </c>
      <c r="J5030" s="4" t="s">
        <v>16059</v>
      </c>
      <c r="K5030" s="4" t="s">
        <v>16060</v>
      </c>
      <c r="L5030" s="5">
        <v>21100</v>
      </c>
    </row>
    <row r="5031" spans="1:12" x14ac:dyDescent="0.25">
      <c r="A5031" s="3" t="s">
        <v>15973</v>
      </c>
      <c r="B5031" s="4" t="s">
        <v>15974</v>
      </c>
      <c r="C5031" s="4" t="s">
        <v>25</v>
      </c>
      <c r="D5031" s="4" t="s">
        <v>26</v>
      </c>
      <c r="E5031" s="5" t="str">
        <f>"9020153"</f>
        <v>9020153</v>
      </c>
      <c r="F5031" s="3" t="s">
        <v>16061</v>
      </c>
      <c r="G5031" s="5">
        <v>2752092400</v>
      </c>
      <c r="H5031" s="4" t="s">
        <v>16062</v>
      </c>
      <c r="I5031" s="4" t="s">
        <v>15992</v>
      </c>
      <c r="J5031" s="4" t="s">
        <v>16063</v>
      </c>
      <c r="K5031" s="4" t="s">
        <v>8367</v>
      </c>
      <c r="L5031" s="5">
        <v>21060</v>
      </c>
    </row>
    <row r="5032" spans="1:12" x14ac:dyDescent="0.25">
      <c r="A5032" s="3" t="s">
        <v>15973</v>
      </c>
      <c r="B5032" s="4" t="s">
        <v>15974</v>
      </c>
      <c r="C5032" s="4" t="s">
        <v>14</v>
      </c>
      <c r="D5032" s="4" t="s">
        <v>15</v>
      </c>
      <c r="E5032" s="5" t="str">
        <f>"9020071"</f>
        <v>9020071</v>
      </c>
      <c r="F5032" s="3" t="s">
        <v>16064</v>
      </c>
      <c r="G5032" s="5">
        <v>2754061261</v>
      </c>
      <c r="H5032" s="4" t="s">
        <v>16065</v>
      </c>
      <c r="I5032" s="4" t="s">
        <v>15987</v>
      </c>
      <c r="J5032" s="4" t="s">
        <v>16066</v>
      </c>
      <c r="K5032" s="4" t="s">
        <v>16067</v>
      </c>
      <c r="L5032" s="5">
        <v>21300</v>
      </c>
    </row>
    <row r="5033" spans="1:12" x14ac:dyDescent="0.25">
      <c r="A5033" s="3" t="s">
        <v>15973</v>
      </c>
      <c r="B5033" s="4" t="s">
        <v>15974</v>
      </c>
      <c r="C5033" s="4" t="s">
        <v>14</v>
      </c>
      <c r="D5033" s="4" t="s">
        <v>15</v>
      </c>
      <c r="E5033" s="5" t="str">
        <f>"9020104"</f>
        <v>9020104</v>
      </c>
      <c r="F5033" s="3" t="s">
        <v>16068</v>
      </c>
      <c r="G5033" s="5">
        <v>2753022254</v>
      </c>
      <c r="H5033" s="4" t="s">
        <v>16069</v>
      </c>
      <c r="I5033" s="4" t="s">
        <v>15977</v>
      </c>
      <c r="J5033" s="4" t="s">
        <v>16070</v>
      </c>
      <c r="K5033" s="4" t="s">
        <v>16071</v>
      </c>
      <c r="L5033" s="5">
        <v>21052</v>
      </c>
    </row>
    <row r="5034" spans="1:12" x14ac:dyDescent="0.25">
      <c r="A5034" s="3" t="s">
        <v>15973</v>
      </c>
      <c r="B5034" s="4" t="s">
        <v>15974</v>
      </c>
      <c r="C5034" s="4" t="s">
        <v>25</v>
      </c>
      <c r="D5034" s="4" t="s">
        <v>26</v>
      </c>
      <c r="E5034" s="5" t="str">
        <f>"9020130"</f>
        <v>9020130</v>
      </c>
      <c r="F5034" s="3" t="s">
        <v>16072</v>
      </c>
      <c r="G5034" s="5">
        <v>2751062016</v>
      </c>
      <c r="H5034" s="4" t="s">
        <v>16073</v>
      </c>
      <c r="I5034" s="4" t="s">
        <v>15982</v>
      </c>
      <c r="J5034" s="4" t="s">
        <v>16003</v>
      </c>
      <c r="K5034" s="4" t="s">
        <v>586</v>
      </c>
      <c r="L5034" s="5">
        <v>21200</v>
      </c>
    </row>
    <row r="5035" spans="1:12" x14ac:dyDescent="0.25">
      <c r="A5035" s="3" t="s">
        <v>15973</v>
      </c>
      <c r="B5035" s="4" t="s">
        <v>15974</v>
      </c>
      <c r="C5035" s="4" t="s">
        <v>14</v>
      </c>
      <c r="D5035" s="4" t="s">
        <v>179</v>
      </c>
      <c r="E5035" s="5" t="str">
        <f>"9020061"</f>
        <v>9020061</v>
      </c>
      <c r="F5035" s="3" t="s">
        <v>16074</v>
      </c>
      <c r="G5035" s="5">
        <v>2754071228</v>
      </c>
      <c r="H5035" s="4" t="s">
        <v>16075</v>
      </c>
      <c r="I5035" s="4" t="s">
        <v>15987</v>
      </c>
      <c r="J5035" s="4" t="s">
        <v>16076</v>
      </c>
      <c r="K5035" s="4" t="s">
        <v>16077</v>
      </c>
      <c r="L5035" s="5">
        <v>21300</v>
      </c>
    </row>
    <row r="5036" spans="1:12" x14ac:dyDescent="0.25">
      <c r="A5036" s="3" t="s">
        <v>15973</v>
      </c>
      <c r="B5036" s="4" t="s">
        <v>15974</v>
      </c>
      <c r="C5036" s="4" t="s">
        <v>25</v>
      </c>
      <c r="D5036" s="4" t="s">
        <v>26</v>
      </c>
      <c r="E5036" s="5" t="str">
        <f>"9020135"</f>
        <v>9020135</v>
      </c>
      <c r="F5036" s="3" t="s">
        <v>16078</v>
      </c>
      <c r="G5036" s="5">
        <v>2751029797</v>
      </c>
      <c r="H5036" s="4" t="s">
        <v>16079</v>
      </c>
      <c r="I5036" s="4" t="s">
        <v>15982</v>
      </c>
      <c r="J5036" s="4" t="s">
        <v>16010</v>
      </c>
      <c r="K5036" s="4" t="s">
        <v>16080</v>
      </c>
      <c r="L5036" s="5">
        <v>21231</v>
      </c>
    </row>
    <row r="5037" spans="1:12" x14ac:dyDescent="0.25">
      <c r="A5037" s="3" t="s">
        <v>15973</v>
      </c>
      <c r="B5037" s="4" t="s">
        <v>15974</v>
      </c>
      <c r="C5037" s="4" t="s">
        <v>25</v>
      </c>
      <c r="D5037" s="4" t="s">
        <v>26</v>
      </c>
      <c r="E5037" s="5" t="str">
        <f>"9020544"</f>
        <v>9020544</v>
      </c>
      <c r="F5037" s="3" t="s">
        <v>16081</v>
      </c>
      <c r="G5037" s="5">
        <v>2751023775</v>
      </c>
      <c r="H5037" s="4" t="s">
        <v>16082</v>
      </c>
      <c r="I5037" s="4" t="s">
        <v>15982</v>
      </c>
      <c r="J5037" s="4" t="s">
        <v>16003</v>
      </c>
      <c r="K5037" s="4" t="s">
        <v>16083</v>
      </c>
      <c r="L5037" s="5">
        <v>21200</v>
      </c>
    </row>
    <row r="5038" spans="1:12" ht="30" x14ac:dyDescent="0.25">
      <c r="A5038" s="3" t="s">
        <v>15973</v>
      </c>
      <c r="B5038" s="4" t="s">
        <v>15974</v>
      </c>
      <c r="C5038" s="4" t="s">
        <v>14</v>
      </c>
      <c r="D5038" s="4" t="s">
        <v>15</v>
      </c>
      <c r="E5038" s="5" t="str">
        <f>"9020075"</f>
        <v>9020075</v>
      </c>
      <c r="F5038" s="3" t="s">
        <v>16084</v>
      </c>
      <c r="G5038" s="5">
        <v>2752180010</v>
      </c>
      <c r="H5038" s="4" t="s">
        <v>16085</v>
      </c>
      <c r="I5038" s="4" t="s">
        <v>15992</v>
      </c>
      <c r="J5038" s="4" t="s">
        <v>15993</v>
      </c>
      <c r="K5038" s="4" t="s">
        <v>16086</v>
      </c>
      <c r="L5038" s="5">
        <v>21100</v>
      </c>
    </row>
    <row r="5039" spans="1:12" x14ac:dyDescent="0.25">
      <c r="A5039" s="3" t="s">
        <v>15973</v>
      </c>
      <c r="B5039" s="4" t="s">
        <v>15974</v>
      </c>
      <c r="C5039" s="4" t="s">
        <v>14</v>
      </c>
      <c r="D5039" s="4" t="s">
        <v>15</v>
      </c>
      <c r="E5039" s="5" t="str">
        <f>"9020076"</f>
        <v>9020076</v>
      </c>
      <c r="F5039" s="3" t="s">
        <v>16087</v>
      </c>
      <c r="G5039" s="5">
        <v>2752028192</v>
      </c>
      <c r="H5039" s="4" t="s">
        <v>16088</v>
      </c>
      <c r="I5039" s="4" t="s">
        <v>15992</v>
      </c>
      <c r="J5039" s="4" t="s">
        <v>15993</v>
      </c>
      <c r="K5039" s="4" t="s">
        <v>15994</v>
      </c>
      <c r="L5039" s="5">
        <v>21100</v>
      </c>
    </row>
    <row r="5040" spans="1:12" x14ac:dyDescent="0.25">
      <c r="A5040" s="3" t="s">
        <v>15973</v>
      </c>
      <c r="B5040" s="4" t="s">
        <v>15974</v>
      </c>
      <c r="C5040" s="4" t="s">
        <v>14</v>
      </c>
      <c r="D5040" s="4" t="s">
        <v>15</v>
      </c>
      <c r="E5040" s="5" t="str">
        <f>"9020072"</f>
        <v>9020072</v>
      </c>
      <c r="F5040" s="3" t="s">
        <v>16089</v>
      </c>
      <c r="G5040" s="5">
        <v>2754051229</v>
      </c>
      <c r="H5040" s="4" t="s">
        <v>16090</v>
      </c>
      <c r="I5040" s="4" t="s">
        <v>15987</v>
      </c>
      <c r="J5040" s="4" t="s">
        <v>15989</v>
      </c>
      <c r="K5040" s="4" t="s">
        <v>16091</v>
      </c>
      <c r="L5040" s="5">
        <v>21300</v>
      </c>
    </row>
    <row r="5041" spans="1:12" x14ac:dyDescent="0.25">
      <c r="A5041" s="3" t="s">
        <v>15973</v>
      </c>
      <c r="B5041" s="4" t="s">
        <v>15974</v>
      </c>
      <c r="C5041" s="4" t="s">
        <v>14</v>
      </c>
      <c r="D5041" s="4" t="s">
        <v>15</v>
      </c>
      <c r="E5041" s="5" t="str">
        <f>"9020008"</f>
        <v>9020008</v>
      </c>
      <c r="F5041" s="3" t="s">
        <v>16092</v>
      </c>
      <c r="G5041" s="5">
        <v>2751086315</v>
      </c>
      <c r="H5041" s="4" t="s">
        <v>16093</v>
      </c>
      <c r="I5041" s="4" t="s">
        <v>15982</v>
      </c>
      <c r="J5041" s="4" t="s">
        <v>16094</v>
      </c>
      <c r="K5041" s="4" t="s">
        <v>15683</v>
      </c>
      <c r="L5041" s="5">
        <v>21200</v>
      </c>
    </row>
    <row r="5042" spans="1:12" x14ac:dyDescent="0.25">
      <c r="A5042" s="3" t="s">
        <v>15973</v>
      </c>
      <c r="B5042" s="4" t="s">
        <v>15974</v>
      </c>
      <c r="C5042" s="4" t="s">
        <v>25</v>
      </c>
      <c r="D5042" s="4" t="s">
        <v>26</v>
      </c>
      <c r="E5042" s="5" t="str">
        <f>"9020079"</f>
        <v>9020079</v>
      </c>
      <c r="F5042" s="3" t="s">
        <v>16095</v>
      </c>
      <c r="G5042" s="5">
        <v>2752022473</v>
      </c>
      <c r="H5042" s="4" t="s">
        <v>16096</v>
      </c>
      <c r="I5042" s="4" t="s">
        <v>15992</v>
      </c>
      <c r="J5042" s="4" t="s">
        <v>15993</v>
      </c>
      <c r="K5042" s="4" t="s">
        <v>16037</v>
      </c>
      <c r="L5042" s="5">
        <v>21100</v>
      </c>
    </row>
    <row r="5043" spans="1:12" x14ac:dyDescent="0.25">
      <c r="A5043" s="3" t="s">
        <v>15973</v>
      </c>
      <c r="B5043" s="4" t="s">
        <v>15974</v>
      </c>
      <c r="C5043" s="4" t="s">
        <v>25</v>
      </c>
      <c r="D5043" s="4" t="s">
        <v>26</v>
      </c>
      <c r="E5043" s="5" t="str">
        <f>"9020126"</f>
        <v>9020126</v>
      </c>
      <c r="F5043" s="3" t="s">
        <v>16097</v>
      </c>
      <c r="G5043" s="5">
        <v>2751051598</v>
      </c>
      <c r="H5043" s="4" t="s">
        <v>16098</v>
      </c>
      <c r="I5043" s="4" t="s">
        <v>15982</v>
      </c>
      <c r="J5043" s="4" t="s">
        <v>16099</v>
      </c>
      <c r="K5043" s="4" t="s">
        <v>16100</v>
      </c>
      <c r="L5043" s="5">
        <v>21053</v>
      </c>
    </row>
    <row r="5044" spans="1:12" x14ac:dyDescent="0.25">
      <c r="A5044" s="3" t="s">
        <v>15973</v>
      </c>
      <c r="B5044" s="4" t="s">
        <v>15974</v>
      </c>
      <c r="C5044" s="4" t="s">
        <v>14</v>
      </c>
      <c r="D5044" s="4" t="s">
        <v>15</v>
      </c>
      <c r="E5044" s="5" t="str">
        <f>"9020016"</f>
        <v>9020016</v>
      </c>
      <c r="F5044" s="3" t="s">
        <v>16101</v>
      </c>
      <c r="G5044" s="5">
        <v>2751066402</v>
      </c>
      <c r="H5044" s="4" t="s">
        <v>16102</v>
      </c>
      <c r="I5044" s="4" t="s">
        <v>15982</v>
      </c>
      <c r="J5044" s="4" t="s">
        <v>16103</v>
      </c>
      <c r="K5044" s="4" t="s">
        <v>16104</v>
      </c>
      <c r="L5044" s="5">
        <v>21200</v>
      </c>
    </row>
    <row r="5045" spans="1:12" x14ac:dyDescent="0.25">
      <c r="A5045" s="3" t="s">
        <v>15973</v>
      </c>
      <c r="B5045" s="4" t="s">
        <v>15974</v>
      </c>
      <c r="C5045" s="4" t="s">
        <v>14</v>
      </c>
      <c r="D5045" s="4" t="s">
        <v>15</v>
      </c>
      <c r="E5045" s="5" t="str">
        <f>"9020060"</f>
        <v>9020060</v>
      </c>
      <c r="F5045" s="3" t="s">
        <v>16105</v>
      </c>
      <c r="G5045" s="5">
        <v>2754021533</v>
      </c>
      <c r="H5045" s="4" t="s">
        <v>16106</v>
      </c>
      <c r="I5045" s="4" t="s">
        <v>15987</v>
      </c>
      <c r="J5045" s="4" t="s">
        <v>16027</v>
      </c>
      <c r="K5045" s="4" t="s">
        <v>16027</v>
      </c>
      <c r="L5045" s="5">
        <v>21300</v>
      </c>
    </row>
    <row r="5046" spans="1:12" x14ac:dyDescent="0.25">
      <c r="A5046" s="3" t="s">
        <v>15973</v>
      </c>
      <c r="B5046" s="4" t="s">
        <v>15974</v>
      </c>
      <c r="C5046" s="4" t="s">
        <v>25</v>
      </c>
      <c r="D5046" s="4" t="s">
        <v>26</v>
      </c>
      <c r="E5046" s="5" t="str">
        <f>"9020067"</f>
        <v>9020067</v>
      </c>
      <c r="F5046" s="3" t="s">
        <v>16107</v>
      </c>
      <c r="G5046" s="5">
        <v>2754031622</v>
      </c>
      <c r="H5046" s="4" t="s">
        <v>16108</v>
      </c>
      <c r="I5046" s="4" t="s">
        <v>15987</v>
      </c>
      <c r="J5046" s="4" t="s">
        <v>16109</v>
      </c>
      <c r="K5046" s="4" t="s">
        <v>16110</v>
      </c>
      <c r="L5046" s="5">
        <v>21051</v>
      </c>
    </row>
    <row r="5047" spans="1:12" x14ac:dyDescent="0.25">
      <c r="A5047" s="3" t="s">
        <v>15973</v>
      </c>
      <c r="B5047" s="4" t="s">
        <v>15974</v>
      </c>
      <c r="C5047" s="4" t="s">
        <v>25</v>
      </c>
      <c r="D5047" s="4" t="s">
        <v>26</v>
      </c>
      <c r="E5047" s="5" t="str">
        <f>"9020147"</f>
        <v>9020147</v>
      </c>
      <c r="F5047" s="3" t="s">
        <v>16111</v>
      </c>
      <c r="G5047" s="5">
        <v>2753041780</v>
      </c>
      <c r="H5047" s="4" t="s">
        <v>16112</v>
      </c>
      <c r="I5047" s="4" t="s">
        <v>15977</v>
      </c>
      <c r="J5047" s="4" t="s">
        <v>16113</v>
      </c>
      <c r="K5047" s="4" t="s">
        <v>16114</v>
      </c>
      <c r="L5047" s="5">
        <v>21059</v>
      </c>
    </row>
    <row r="5048" spans="1:12" x14ac:dyDescent="0.25">
      <c r="A5048" s="3" t="s">
        <v>15973</v>
      </c>
      <c r="B5048" s="4" t="s">
        <v>15974</v>
      </c>
      <c r="C5048" s="4" t="s">
        <v>14</v>
      </c>
      <c r="D5048" s="4" t="s">
        <v>15</v>
      </c>
      <c r="E5048" s="5" t="str">
        <f>"9020044"</f>
        <v>9020044</v>
      </c>
      <c r="F5048" s="3" t="s">
        <v>16115</v>
      </c>
      <c r="G5048" s="5">
        <v>2751031391</v>
      </c>
      <c r="H5048" s="4" t="s">
        <v>16116</v>
      </c>
      <c r="I5048" s="4" t="s">
        <v>15982</v>
      </c>
      <c r="J5048" s="4" t="s">
        <v>16117</v>
      </c>
      <c r="K5048" s="4" t="s">
        <v>16117</v>
      </c>
      <c r="L5048" s="5">
        <v>21200</v>
      </c>
    </row>
    <row r="5049" spans="1:12" x14ac:dyDescent="0.25">
      <c r="A5049" s="3" t="s">
        <v>15973</v>
      </c>
      <c r="B5049" s="4" t="s">
        <v>15974</v>
      </c>
      <c r="C5049" s="4" t="s">
        <v>14</v>
      </c>
      <c r="D5049" s="4" t="s">
        <v>15</v>
      </c>
      <c r="E5049" s="5" t="str">
        <f>"9020183"</f>
        <v>9020183</v>
      </c>
      <c r="F5049" s="3" t="s">
        <v>16118</v>
      </c>
      <c r="G5049" s="5">
        <v>2751025135</v>
      </c>
      <c r="H5049" s="4" t="s">
        <v>16119</v>
      </c>
      <c r="I5049" s="4" t="s">
        <v>15982</v>
      </c>
      <c r="J5049" s="4" t="s">
        <v>16003</v>
      </c>
      <c r="K5049" s="4" t="s">
        <v>16120</v>
      </c>
      <c r="L5049" s="5">
        <v>21232</v>
      </c>
    </row>
    <row r="5050" spans="1:12" x14ac:dyDescent="0.25">
      <c r="A5050" s="3" t="s">
        <v>15973</v>
      </c>
      <c r="B5050" s="4" t="s">
        <v>15974</v>
      </c>
      <c r="C5050" s="4" t="s">
        <v>14</v>
      </c>
      <c r="D5050" s="4" t="s">
        <v>15</v>
      </c>
      <c r="E5050" s="5" t="str">
        <f>"9020003"</f>
        <v>9020003</v>
      </c>
      <c r="F5050" s="3" t="s">
        <v>16121</v>
      </c>
      <c r="G5050" s="5">
        <v>2751067776</v>
      </c>
      <c r="H5050" s="4" t="s">
        <v>16122</v>
      </c>
      <c r="I5050" s="4" t="s">
        <v>15982</v>
      </c>
      <c r="J5050" s="4" t="s">
        <v>16003</v>
      </c>
      <c r="K5050" s="4" t="s">
        <v>16123</v>
      </c>
      <c r="L5050" s="5">
        <v>21231</v>
      </c>
    </row>
    <row r="5051" spans="1:12" x14ac:dyDescent="0.25">
      <c r="A5051" s="3" t="s">
        <v>15973</v>
      </c>
      <c r="B5051" s="4" t="s">
        <v>15974</v>
      </c>
      <c r="C5051" s="4" t="s">
        <v>14</v>
      </c>
      <c r="D5051" s="4" t="s">
        <v>15</v>
      </c>
      <c r="E5051" s="5" t="str">
        <f>"9020004"</f>
        <v>9020004</v>
      </c>
      <c r="F5051" s="3" t="s">
        <v>16124</v>
      </c>
      <c r="G5051" s="5">
        <v>2751062194</v>
      </c>
      <c r="H5051" s="4" t="s">
        <v>16125</v>
      </c>
      <c r="I5051" s="4" t="s">
        <v>15982</v>
      </c>
      <c r="J5051" s="4" t="s">
        <v>16003</v>
      </c>
      <c r="K5051" s="4" t="s">
        <v>16126</v>
      </c>
      <c r="L5051" s="5">
        <v>21200</v>
      </c>
    </row>
    <row r="5052" spans="1:12" x14ac:dyDescent="0.25">
      <c r="A5052" s="3" t="s">
        <v>15973</v>
      </c>
      <c r="B5052" s="4" t="s">
        <v>15974</v>
      </c>
      <c r="C5052" s="4" t="s">
        <v>14</v>
      </c>
      <c r="D5052" s="4" t="s">
        <v>15</v>
      </c>
      <c r="E5052" s="5" t="str">
        <f>"9020006"</f>
        <v>9020006</v>
      </c>
      <c r="F5052" s="3" t="s">
        <v>16127</v>
      </c>
      <c r="G5052" s="5">
        <v>2751066093</v>
      </c>
      <c r="H5052" s="4" t="s">
        <v>16128</v>
      </c>
      <c r="I5052" s="4" t="s">
        <v>15982</v>
      </c>
      <c r="J5052" s="4" t="s">
        <v>16003</v>
      </c>
      <c r="K5052" s="4" t="s">
        <v>16129</v>
      </c>
      <c r="L5052" s="5">
        <v>21200</v>
      </c>
    </row>
    <row r="5053" spans="1:12" x14ac:dyDescent="0.25">
      <c r="A5053" s="3" t="s">
        <v>15973</v>
      </c>
      <c r="B5053" s="4" t="s">
        <v>15974</v>
      </c>
      <c r="C5053" s="4" t="s">
        <v>14</v>
      </c>
      <c r="D5053" s="4" t="s">
        <v>15</v>
      </c>
      <c r="E5053" s="5" t="str">
        <f>"9020007"</f>
        <v>9020007</v>
      </c>
      <c r="F5053" s="3" t="s">
        <v>16130</v>
      </c>
      <c r="G5053" s="5">
        <v>2751068998</v>
      </c>
      <c r="H5053" s="4" t="s">
        <v>16131</v>
      </c>
      <c r="I5053" s="4" t="s">
        <v>15982</v>
      </c>
      <c r="J5053" s="4" t="s">
        <v>16003</v>
      </c>
      <c r="K5053" s="4" t="s">
        <v>16132</v>
      </c>
      <c r="L5053" s="5">
        <v>21231</v>
      </c>
    </row>
    <row r="5054" spans="1:12" x14ac:dyDescent="0.25">
      <c r="A5054" s="3" t="s">
        <v>15973</v>
      </c>
      <c r="B5054" s="4" t="s">
        <v>15974</v>
      </c>
      <c r="C5054" s="4" t="s">
        <v>14</v>
      </c>
      <c r="D5054" s="4" t="s">
        <v>15</v>
      </c>
      <c r="E5054" s="5" t="str">
        <f>"9020042"</f>
        <v>9020042</v>
      </c>
      <c r="F5054" s="3" t="s">
        <v>16133</v>
      </c>
      <c r="G5054" s="5">
        <v>2751051128</v>
      </c>
      <c r="H5054" s="4" t="s">
        <v>16134</v>
      </c>
      <c r="I5054" s="4" t="s">
        <v>15982</v>
      </c>
      <c r="J5054" s="4" t="s">
        <v>16099</v>
      </c>
      <c r="K5054" s="4" t="s">
        <v>16135</v>
      </c>
      <c r="L5054" s="5">
        <v>21053</v>
      </c>
    </row>
    <row r="5055" spans="1:12" x14ac:dyDescent="0.25">
      <c r="A5055" s="3" t="s">
        <v>15973</v>
      </c>
      <c r="B5055" s="4" t="s">
        <v>15974</v>
      </c>
      <c r="C5055" s="4" t="s">
        <v>14</v>
      </c>
      <c r="D5055" s="4" t="s">
        <v>15</v>
      </c>
      <c r="E5055" s="5" t="str">
        <f>"9020029"</f>
        <v>9020029</v>
      </c>
      <c r="F5055" s="3" t="s">
        <v>16136</v>
      </c>
      <c r="G5055" s="5">
        <v>2751091392</v>
      </c>
      <c r="H5055" s="4" t="s">
        <v>16137</v>
      </c>
      <c r="I5055" s="4" t="s">
        <v>15982</v>
      </c>
      <c r="J5055" s="4" t="s">
        <v>16138</v>
      </c>
      <c r="K5055" s="4" t="s">
        <v>16139</v>
      </c>
      <c r="L5055" s="5">
        <v>21200</v>
      </c>
    </row>
    <row r="5056" spans="1:12" x14ac:dyDescent="0.25">
      <c r="A5056" s="3" t="s">
        <v>15973</v>
      </c>
      <c r="B5056" s="4" t="s">
        <v>15974</v>
      </c>
      <c r="C5056" s="4" t="s">
        <v>25</v>
      </c>
      <c r="D5056" s="4" t="s">
        <v>26</v>
      </c>
      <c r="E5056" s="5" t="str">
        <f>"9020129"</f>
        <v>9020129</v>
      </c>
      <c r="F5056" s="3" t="s">
        <v>16140</v>
      </c>
      <c r="G5056" s="5">
        <v>2751020959</v>
      </c>
      <c r="H5056" s="4" t="s">
        <v>16141</v>
      </c>
      <c r="I5056" s="4" t="s">
        <v>15982</v>
      </c>
      <c r="J5056" s="4" t="s">
        <v>16010</v>
      </c>
      <c r="K5056" s="4" t="s">
        <v>16142</v>
      </c>
      <c r="L5056" s="5">
        <v>21200</v>
      </c>
    </row>
    <row r="5057" spans="1:12" x14ac:dyDescent="0.25">
      <c r="A5057" s="3" t="s">
        <v>15973</v>
      </c>
      <c r="B5057" s="4" t="s">
        <v>15974</v>
      </c>
      <c r="C5057" s="4" t="s">
        <v>14</v>
      </c>
      <c r="D5057" s="4" t="s">
        <v>15</v>
      </c>
      <c r="E5057" s="5" t="str">
        <f>"9020027"</f>
        <v>9020027</v>
      </c>
      <c r="F5057" s="3" t="s">
        <v>16143</v>
      </c>
      <c r="G5057" s="5">
        <v>2751047944</v>
      </c>
      <c r="H5057" s="4" t="s">
        <v>16144</v>
      </c>
      <c r="I5057" s="4" t="s">
        <v>15982</v>
      </c>
      <c r="J5057" s="4" t="s">
        <v>16145</v>
      </c>
      <c r="K5057" s="4"/>
      <c r="L5057" s="5">
        <v>21200</v>
      </c>
    </row>
    <row r="5058" spans="1:12" x14ac:dyDescent="0.25">
      <c r="A5058" s="3" t="s">
        <v>15973</v>
      </c>
      <c r="B5058" s="4" t="s">
        <v>15974</v>
      </c>
      <c r="C5058" s="4" t="s">
        <v>25</v>
      </c>
      <c r="D5058" s="4" t="s">
        <v>26</v>
      </c>
      <c r="E5058" s="5" t="str">
        <f>"9521355"</f>
        <v>9521355</v>
      </c>
      <c r="F5058" s="3" t="s">
        <v>16146</v>
      </c>
      <c r="G5058" s="5">
        <v>2754023302</v>
      </c>
      <c r="H5058" s="4" t="s">
        <v>16147</v>
      </c>
      <c r="I5058" s="4" t="s">
        <v>15987</v>
      </c>
      <c r="J5058" s="4" t="s">
        <v>16034</v>
      </c>
      <c r="K5058" s="4" t="s">
        <v>16148</v>
      </c>
      <c r="L5058" s="5">
        <v>21300</v>
      </c>
    </row>
    <row r="5059" spans="1:12" x14ac:dyDescent="0.25">
      <c r="A5059" s="3" t="s">
        <v>15973</v>
      </c>
      <c r="B5059" s="4" t="s">
        <v>15974</v>
      </c>
      <c r="C5059" s="4" t="s">
        <v>14</v>
      </c>
      <c r="D5059" s="4" t="s">
        <v>15</v>
      </c>
      <c r="E5059" s="5" t="str">
        <f>"9020098"</f>
        <v>9020098</v>
      </c>
      <c r="F5059" s="3" t="s">
        <v>16149</v>
      </c>
      <c r="G5059" s="5">
        <v>2752092267</v>
      </c>
      <c r="H5059" s="4" t="s">
        <v>16150</v>
      </c>
      <c r="I5059" s="4" t="s">
        <v>15992</v>
      </c>
      <c r="J5059" s="4" t="s">
        <v>16151</v>
      </c>
      <c r="K5059" s="4" t="s">
        <v>8367</v>
      </c>
      <c r="L5059" s="5">
        <v>21060</v>
      </c>
    </row>
    <row r="5060" spans="1:12" x14ac:dyDescent="0.25">
      <c r="A5060" s="3" t="s">
        <v>15973</v>
      </c>
      <c r="B5060" s="4" t="s">
        <v>16152</v>
      </c>
      <c r="C5060" s="4" t="s">
        <v>14</v>
      </c>
      <c r="D5060" s="4" t="s">
        <v>15</v>
      </c>
      <c r="E5060" s="5" t="str">
        <f>"9030362"</f>
        <v>9030362</v>
      </c>
      <c r="F5060" s="3" t="s">
        <v>16153</v>
      </c>
      <c r="G5060" s="5">
        <v>2710239682</v>
      </c>
      <c r="H5060" s="4" t="s">
        <v>16154</v>
      </c>
      <c r="I5060" s="4" t="s">
        <v>16155</v>
      </c>
      <c r="J5060" s="4" t="s">
        <v>16156</v>
      </c>
      <c r="K5060" s="4" t="s">
        <v>16157</v>
      </c>
      <c r="L5060" s="5">
        <v>22132</v>
      </c>
    </row>
    <row r="5061" spans="1:12" x14ac:dyDescent="0.25">
      <c r="A5061" s="3" t="s">
        <v>15973</v>
      </c>
      <c r="B5061" s="4" t="s">
        <v>16152</v>
      </c>
      <c r="C5061" s="4" t="s">
        <v>25</v>
      </c>
      <c r="D5061" s="4" t="s">
        <v>26</v>
      </c>
      <c r="E5061" s="5" t="str">
        <f>"9030373"</f>
        <v>9030373</v>
      </c>
      <c r="F5061" s="3" t="s">
        <v>16158</v>
      </c>
      <c r="G5061" s="5">
        <v>2710227462</v>
      </c>
      <c r="H5061" s="4" t="s">
        <v>16159</v>
      </c>
      <c r="I5061" s="4" t="s">
        <v>16155</v>
      </c>
      <c r="J5061" s="4" t="s">
        <v>16155</v>
      </c>
      <c r="K5061" s="4" t="s">
        <v>16160</v>
      </c>
      <c r="L5061" s="5">
        <v>22132</v>
      </c>
    </row>
    <row r="5062" spans="1:12" x14ac:dyDescent="0.25">
      <c r="A5062" s="3" t="s">
        <v>15973</v>
      </c>
      <c r="B5062" s="4" t="s">
        <v>16152</v>
      </c>
      <c r="C5062" s="4" t="s">
        <v>25</v>
      </c>
      <c r="D5062" s="4" t="s">
        <v>26</v>
      </c>
      <c r="E5062" s="5" t="str">
        <f>"9030313"</f>
        <v>9030313</v>
      </c>
      <c r="F5062" s="3" t="s">
        <v>16161</v>
      </c>
      <c r="G5062" s="5">
        <v>2791024474</v>
      </c>
      <c r="H5062" s="4" t="s">
        <v>16162</v>
      </c>
      <c r="I5062" s="4" t="s">
        <v>16163</v>
      </c>
      <c r="J5062" s="4" t="s">
        <v>16164</v>
      </c>
      <c r="K5062" s="4" t="s">
        <v>16165</v>
      </c>
      <c r="L5062" s="5">
        <v>22200</v>
      </c>
    </row>
    <row r="5063" spans="1:12" x14ac:dyDescent="0.25">
      <c r="A5063" s="3" t="s">
        <v>15973</v>
      </c>
      <c r="B5063" s="4" t="s">
        <v>16152</v>
      </c>
      <c r="C5063" s="4" t="s">
        <v>25</v>
      </c>
      <c r="D5063" s="4" t="s">
        <v>26</v>
      </c>
      <c r="E5063" s="5" t="str">
        <f>"9030379"</f>
        <v>9030379</v>
      </c>
      <c r="F5063" s="3" t="s">
        <v>16166</v>
      </c>
      <c r="G5063" s="5">
        <v>2710222504</v>
      </c>
      <c r="H5063" s="4" t="s">
        <v>16167</v>
      </c>
      <c r="I5063" s="4" t="s">
        <v>16155</v>
      </c>
      <c r="J5063" s="4" t="s">
        <v>16155</v>
      </c>
      <c r="K5063" s="4" t="s">
        <v>16168</v>
      </c>
      <c r="L5063" s="5">
        <v>22132</v>
      </c>
    </row>
    <row r="5064" spans="1:12" x14ac:dyDescent="0.25">
      <c r="A5064" s="3" t="s">
        <v>15973</v>
      </c>
      <c r="B5064" s="4" t="s">
        <v>16152</v>
      </c>
      <c r="C5064" s="4" t="s">
        <v>25</v>
      </c>
      <c r="D5064" s="4" t="s">
        <v>26</v>
      </c>
      <c r="E5064" s="5" t="str">
        <f>"9030364"</f>
        <v>9030364</v>
      </c>
      <c r="F5064" s="3" t="s">
        <v>16169</v>
      </c>
      <c r="G5064" s="5">
        <v>2710239300</v>
      </c>
      <c r="H5064" s="4" t="s">
        <v>16170</v>
      </c>
      <c r="I5064" s="4" t="s">
        <v>16155</v>
      </c>
      <c r="J5064" s="4" t="s">
        <v>16155</v>
      </c>
      <c r="K5064" s="4" t="s">
        <v>16171</v>
      </c>
      <c r="L5064" s="5">
        <v>22100</v>
      </c>
    </row>
    <row r="5065" spans="1:12" x14ac:dyDescent="0.25">
      <c r="A5065" s="3" t="s">
        <v>15973</v>
      </c>
      <c r="B5065" s="4" t="s">
        <v>16152</v>
      </c>
      <c r="C5065" s="4" t="s">
        <v>25</v>
      </c>
      <c r="D5065" s="4" t="s">
        <v>26</v>
      </c>
      <c r="E5065" s="5" t="str">
        <f>"9030329"</f>
        <v>9030329</v>
      </c>
      <c r="F5065" s="3" t="s">
        <v>16172</v>
      </c>
      <c r="G5065" s="5">
        <v>2710233940</v>
      </c>
      <c r="H5065" s="4" t="s">
        <v>16173</v>
      </c>
      <c r="I5065" s="4" t="s">
        <v>16155</v>
      </c>
      <c r="J5065" s="4" t="s">
        <v>16155</v>
      </c>
      <c r="K5065" s="4" t="s">
        <v>16174</v>
      </c>
      <c r="L5065" s="5">
        <v>22131</v>
      </c>
    </row>
    <row r="5066" spans="1:12" x14ac:dyDescent="0.25">
      <c r="A5066" s="3" t="s">
        <v>15973</v>
      </c>
      <c r="B5066" s="4" t="s">
        <v>16152</v>
      </c>
      <c r="C5066" s="4" t="s">
        <v>25</v>
      </c>
      <c r="D5066" s="4" t="s">
        <v>26</v>
      </c>
      <c r="E5066" s="5" t="str">
        <f>"9030295"</f>
        <v>9030295</v>
      </c>
      <c r="F5066" s="3" t="s">
        <v>16175</v>
      </c>
      <c r="G5066" s="5">
        <v>2710237946</v>
      </c>
      <c r="H5066" s="4" t="s">
        <v>16176</v>
      </c>
      <c r="I5066" s="4" t="s">
        <v>16155</v>
      </c>
      <c r="J5066" s="4" t="s">
        <v>16155</v>
      </c>
      <c r="K5066" s="4" t="s">
        <v>16177</v>
      </c>
      <c r="L5066" s="5">
        <v>22132</v>
      </c>
    </row>
    <row r="5067" spans="1:12" x14ac:dyDescent="0.25">
      <c r="A5067" s="3" t="s">
        <v>15973</v>
      </c>
      <c r="B5067" s="4" t="s">
        <v>16152</v>
      </c>
      <c r="C5067" s="4" t="s">
        <v>25</v>
      </c>
      <c r="D5067" s="4" t="s">
        <v>26</v>
      </c>
      <c r="E5067" s="5" t="str">
        <f>"9030099"</f>
        <v>9030099</v>
      </c>
      <c r="F5067" s="3" t="s">
        <v>16178</v>
      </c>
      <c r="G5067" s="5">
        <v>2710224689</v>
      </c>
      <c r="H5067" s="4" t="s">
        <v>16179</v>
      </c>
      <c r="I5067" s="4" t="s">
        <v>16155</v>
      </c>
      <c r="J5067" s="4" t="s">
        <v>16156</v>
      </c>
      <c r="K5067" s="4" t="s">
        <v>16180</v>
      </c>
      <c r="L5067" s="5">
        <v>22132</v>
      </c>
    </row>
    <row r="5068" spans="1:12" x14ac:dyDescent="0.25">
      <c r="A5068" s="3" t="s">
        <v>15973</v>
      </c>
      <c r="B5068" s="4" t="s">
        <v>16152</v>
      </c>
      <c r="C5068" s="4" t="s">
        <v>25</v>
      </c>
      <c r="D5068" s="4" t="s">
        <v>26</v>
      </c>
      <c r="E5068" s="5" t="str">
        <f>"9030294"</f>
        <v>9030294</v>
      </c>
      <c r="F5068" s="3" t="s">
        <v>16181</v>
      </c>
      <c r="G5068" s="5">
        <v>2710223496</v>
      </c>
      <c r="H5068" s="4" t="s">
        <v>16182</v>
      </c>
      <c r="I5068" s="4" t="s">
        <v>16155</v>
      </c>
      <c r="J5068" s="4" t="s">
        <v>16155</v>
      </c>
      <c r="K5068" s="4" t="s">
        <v>16183</v>
      </c>
      <c r="L5068" s="5">
        <v>22100</v>
      </c>
    </row>
    <row r="5069" spans="1:12" x14ac:dyDescent="0.25">
      <c r="A5069" s="3" t="s">
        <v>15973</v>
      </c>
      <c r="B5069" s="4" t="s">
        <v>16152</v>
      </c>
      <c r="C5069" s="4" t="s">
        <v>25</v>
      </c>
      <c r="D5069" s="4" t="s">
        <v>26</v>
      </c>
      <c r="E5069" s="5" t="str">
        <f>"9030192"</f>
        <v>9030192</v>
      </c>
      <c r="F5069" s="3" t="s">
        <v>16184</v>
      </c>
      <c r="G5069" s="5">
        <v>2791025136</v>
      </c>
      <c r="H5069" s="4" t="s">
        <v>16185</v>
      </c>
      <c r="I5069" s="4" t="s">
        <v>16163</v>
      </c>
      <c r="J5069" s="4" t="s">
        <v>16163</v>
      </c>
      <c r="K5069" s="4" t="s">
        <v>16186</v>
      </c>
      <c r="L5069" s="5">
        <v>22200</v>
      </c>
    </row>
    <row r="5070" spans="1:12" x14ac:dyDescent="0.25">
      <c r="A5070" s="3" t="s">
        <v>15973</v>
      </c>
      <c r="B5070" s="4" t="s">
        <v>16152</v>
      </c>
      <c r="C5070" s="4" t="s">
        <v>25</v>
      </c>
      <c r="D5070" s="4" t="s">
        <v>26</v>
      </c>
      <c r="E5070" s="5" t="str">
        <f>"9030349"</f>
        <v>9030349</v>
      </c>
      <c r="F5070" s="3" t="s">
        <v>16187</v>
      </c>
      <c r="G5070" s="5">
        <v>2710239482</v>
      </c>
      <c r="H5070" s="4" t="s">
        <v>16188</v>
      </c>
      <c r="I5070" s="4" t="s">
        <v>16155</v>
      </c>
      <c r="J5070" s="4" t="s">
        <v>16155</v>
      </c>
      <c r="K5070" s="4" t="s">
        <v>16189</v>
      </c>
      <c r="L5070" s="5">
        <v>22100</v>
      </c>
    </row>
    <row r="5071" spans="1:12" x14ac:dyDescent="0.25">
      <c r="A5071" s="3" t="s">
        <v>15973</v>
      </c>
      <c r="B5071" s="4" t="s">
        <v>16152</v>
      </c>
      <c r="C5071" s="4" t="s">
        <v>25</v>
      </c>
      <c r="D5071" s="4" t="s">
        <v>26</v>
      </c>
      <c r="E5071" s="5" t="str">
        <f>"9030243"</f>
        <v>9030243</v>
      </c>
      <c r="F5071" s="3" t="s">
        <v>16190</v>
      </c>
      <c r="G5071" s="5">
        <v>2755023271</v>
      </c>
      <c r="H5071" s="4" t="s">
        <v>16191</v>
      </c>
      <c r="I5071" s="4" t="s">
        <v>16192</v>
      </c>
      <c r="J5071" s="4" t="s">
        <v>16193</v>
      </c>
      <c r="K5071" s="4" t="s">
        <v>16194</v>
      </c>
      <c r="L5071" s="5">
        <v>22001</v>
      </c>
    </row>
    <row r="5072" spans="1:12" x14ac:dyDescent="0.25">
      <c r="A5072" s="3" t="s">
        <v>15973</v>
      </c>
      <c r="B5072" s="4" t="s">
        <v>16152</v>
      </c>
      <c r="C5072" s="4" t="s">
        <v>14</v>
      </c>
      <c r="D5072" s="4" t="s">
        <v>15</v>
      </c>
      <c r="E5072" s="5" t="str">
        <f>"9030289"</f>
        <v>9030289</v>
      </c>
      <c r="F5072" s="3" t="s">
        <v>16195</v>
      </c>
      <c r="G5072" s="5">
        <v>2710225836</v>
      </c>
      <c r="H5072" s="4" t="s">
        <v>16196</v>
      </c>
      <c r="I5072" s="4" t="s">
        <v>16155</v>
      </c>
      <c r="J5072" s="4" t="s">
        <v>16156</v>
      </c>
      <c r="K5072" s="4" t="s">
        <v>16197</v>
      </c>
      <c r="L5072" s="5">
        <v>22131</v>
      </c>
    </row>
    <row r="5073" spans="1:12" x14ac:dyDescent="0.25">
      <c r="A5073" s="3" t="s">
        <v>15973</v>
      </c>
      <c r="B5073" s="4" t="s">
        <v>16152</v>
      </c>
      <c r="C5073" s="4" t="s">
        <v>14</v>
      </c>
      <c r="D5073" s="4" t="s">
        <v>15</v>
      </c>
      <c r="E5073" s="5" t="str">
        <f>"9030096"</f>
        <v>9030096</v>
      </c>
      <c r="F5073" s="3" t="s">
        <v>16198</v>
      </c>
      <c r="G5073" s="5">
        <v>2796022177</v>
      </c>
      <c r="H5073" s="4" t="s">
        <v>16199</v>
      </c>
      <c r="I5073" s="4" t="s">
        <v>16155</v>
      </c>
      <c r="J5073" s="4" t="s">
        <v>16200</v>
      </c>
      <c r="K5073" s="4" t="s">
        <v>16201</v>
      </c>
      <c r="L5073" s="5">
        <v>22002</v>
      </c>
    </row>
    <row r="5074" spans="1:12" x14ac:dyDescent="0.25">
      <c r="A5074" s="3" t="s">
        <v>15973</v>
      </c>
      <c r="B5074" s="4" t="s">
        <v>16152</v>
      </c>
      <c r="C5074" s="4" t="s">
        <v>14</v>
      </c>
      <c r="D5074" s="4" t="s">
        <v>15</v>
      </c>
      <c r="E5074" s="5" t="str">
        <f>"9030103"</f>
        <v>9030103</v>
      </c>
      <c r="F5074" s="3" t="s">
        <v>16202</v>
      </c>
      <c r="G5074" s="5">
        <v>2710238095</v>
      </c>
      <c r="H5074" s="4" t="s">
        <v>16203</v>
      </c>
      <c r="I5074" s="4" t="s">
        <v>16155</v>
      </c>
      <c r="J5074" s="4" t="s">
        <v>16156</v>
      </c>
      <c r="K5074" s="4" t="s">
        <v>16204</v>
      </c>
      <c r="L5074" s="5">
        <v>22132</v>
      </c>
    </row>
    <row r="5075" spans="1:12" x14ac:dyDescent="0.25">
      <c r="A5075" s="3" t="s">
        <v>15973</v>
      </c>
      <c r="B5075" s="4" t="s">
        <v>16152</v>
      </c>
      <c r="C5075" s="4" t="s">
        <v>14</v>
      </c>
      <c r="D5075" s="4" t="s">
        <v>15</v>
      </c>
      <c r="E5075" s="5" t="str">
        <f>"9030291"</f>
        <v>9030291</v>
      </c>
      <c r="F5075" s="3" t="s">
        <v>16205</v>
      </c>
      <c r="G5075" s="5">
        <v>2710241914</v>
      </c>
      <c r="H5075" s="4" t="s">
        <v>16206</v>
      </c>
      <c r="I5075" s="4" t="s">
        <v>16155</v>
      </c>
      <c r="J5075" s="4" t="s">
        <v>16156</v>
      </c>
      <c r="K5075" s="4" t="s">
        <v>16207</v>
      </c>
      <c r="L5075" s="5">
        <v>22132</v>
      </c>
    </row>
    <row r="5076" spans="1:12" x14ac:dyDescent="0.25">
      <c r="A5076" s="3" t="s">
        <v>15973</v>
      </c>
      <c r="B5076" s="4" t="s">
        <v>16152</v>
      </c>
      <c r="C5076" s="4" t="s">
        <v>25</v>
      </c>
      <c r="D5076" s="4" t="s">
        <v>26</v>
      </c>
      <c r="E5076" s="5" t="str">
        <f>"9030100"</f>
        <v>9030100</v>
      </c>
      <c r="F5076" s="3" t="s">
        <v>16208</v>
      </c>
      <c r="G5076" s="5">
        <v>2710225517</v>
      </c>
      <c r="H5076" s="4" t="s">
        <v>16209</v>
      </c>
      <c r="I5076" s="4" t="s">
        <v>16155</v>
      </c>
      <c r="J5076" s="4" t="s">
        <v>16155</v>
      </c>
      <c r="K5076" s="4" t="s">
        <v>16210</v>
      </c>
      <c r="L5076" s="5">
        <v>22100</v>
      </c>
    </row>
    <row r="5077" spans="1:12" x14ac:dyDescent="0.25">
      <c r="A5077" s="3" t="s">
        <v>15973</v>
      </c>
      <c r="B5077" s="4" t="s">
        <v>16152</v>
      </c>
      <c r="C5077" s="4" t="s">
        <v>25</v>
      </c>
      <c r="D5077" s="4" t="s">
        <v>26</v>
      </c>
      <c r="E5077" s="5" t="str">
        <f>"9030304"</f>
        <v>9030304</v>
      </c>
      <c r="F5077" s="3" t="s">
        <v>16211</v>
      </c>
      <c r="G5077" s="5">
        <v>2791023531</v>
      </c>
      <c r="H5077" s="4" t="s">
        <v>16212</v>
      </c>
      <c r="I5077" s="4" t="s">
        <v>16163</v>
      </c>
      <c r="J5077" s="4" t="s">
        <v>16163</v>
      </c>
      <c r="K5077" s="4" t="s">
        <v>16213</v>
      </c>
      <c r="L5077" s="5">
        <v>22200</v>
      </c>
    </row>
    <row r="5078" spans="1:12" x14ac:dyDescent="0.25">
      <c r="A5078" s="3" t="s">
        <v>15973</v>
      </c>
      <c r="B5078" s="4" t="s">
        <v>16152</v>
      </c>
      <c r="C5078" s="4" t="s">
        <v>14</v>
      </c>
      <c r="D5078" s="4" t="s">
        <v>15</v>
      </c>
      <c r="E5078" s="5" t="str">
        <f>"9030284"</f>
        <v>9030284</v>
      </c>
      <c r="F5078" s="3" t="s">
        <v>16214</v>
      </c>
      <c r="G5078" s="5">
        <v>2757041220</v>
      </c>
      <c r="H5078" s="4" t="s">
        <v>16215</v>
      </c>
      <c r="I5078" s="4" t="s">
        <v>16216</v>
      </c>
      <c r="J5078" s="4" t="s">
        <v>16217</v>
      </c>
      <c r="K5078" s="4" t="s">
        <v>16217</v>
      </c>
      <c r="L5078" s="5">
        <v>22029</v>
      </c>
    </row>
    <row r="5079" spans="1:12" x14ac:dyDescent="0.25">
      <c r="A5079" s="3" t="s">
        <v>15973</v>
      </c>
      <c r="B5079" s="4" t="s">
        <v>16152</v>
      </c>
      <c r="C5079" s="4" t="s">
        <v>14</v>
      </c>
      <c r="D5079" s="4" t="s">
        <v>179</v>
      </c>
      <c r="E5079" s="5" t="str">
        <f>"9030083"</f>
        <v>9030083</v>
      </c>
      <c r="F5079" s="3" t="s">
        <v>16218</v>
      </c>
      <c r="G5079" s="5">
        <v>2797022373</v>
      </c>
      <c r="H5079" s="4" t="s">
        <v>16219</v>
      </c>
      <c r="I5079" s="4" t="s">
        <v>16220</v>
      </c>
      <c r="J5079" s="4" t="s">
        <v>16221</v>
      </c>
      <c r="K5079" s="4" t="s">
        <v>16222</v>
      </c>
      <c r="L5079" s="5">
        <v>22008</v>
      </c>
    </row>
    <row r="5080" spans="1:12" x14ac:dyDescent="0.25">
      <c r="A5080" s="3" t="s">
        <v>15973</v>
      </c>
      <c r="B5080" s="4" t="s">
        <v>16152</v>
      </c>
      <c r="C5080" s="4" t="s">
        <v>14</v>
      </c>
      <c r="D5080" s="4" t="s">
        <v>15</v>
      </c>
      <c r="E5080" s="5" t="str">
        <f>"9030266"</f>
        <v>9030266</v>
      </c>
      <c r="F5080" s="3" t="s">
        <v>16223</v>
      </c>
      <c r="G5080" s="5">
        <v>2755051010</v>
      </c>
      <c r="H5080" s="4" t="s">
        <v>16224</v>
      </c>
      <c r="I5080" s="4" t="s">
        <v>16192</v>
      </c>
      <c r="J5080" s="4" t="s">
        <v>16225</v>
      </c>
      <c r="K5080" s="4" t="s">
        <v>16226</v>
      </c>
      <c r="L5080" s="5">
        <v>22001</v>
      </c>
    </row>
    <row r="5081" spans="1:12" x14ac:dyDescent="0.25">
      <c r="A5081" s="3" t="s">
        <v>15973</v>
      </c>
      <c r="B5081" s="4" t="s">
        <v>16152</v>
      </c>
      <c r="C5081" s="4" t="s">
        <v>14</v>
      </c>
      <c r="D5081" s="4" t="s">
        <v>15</v>
      </c>
      <c r="E5081" s="5" t="str">
        <f>"9030246"</f>
        <v>9030246</v>
      </c>
      <c r="F5081" s="3" t="s">
        <v>16227</v>
      </c>
      <c r="G5081" s="5">
        <v>2755022016</v>
      </c>
      <c r="H5081" s="4" t="s">
        <v>16228</v>
      </c>
      <c r="I5081" s="4" t="s">
        <v>16192</v>
      </c>
      <c r="J5081" s="4"/>
      <c r="K5081" s="4" t="s">
        <v>16229</v>
      </c>
      <c r="L5081" s="5">
        <v>22001</v>
      </c>
    </row>
    <row r="5082" spans="1:12" x14ac:dyDescent="0.25">
      <c r="A5082" s="3" t="s">
        <v>15973</v>
      </c>
      <c r="B5082" s="4" t="s">
        <v>16152</v>
      </c>
      <c r="C5082" s="4" t="s">
        <v>14</v>
      </c>
      <c r="D5082" s="4" t="s">
        <v>15</v>
      </c>
      <c r="E5082" s="5" t="str">
        <f>"9030237"</f>
        <v>9030237</v>
      </c>
      <c r="F5082" s="3" t="s">
        <v>16230</v>
      </c>
      <c r="G5082" s="5">
        <v>2755031216</v>
      </c>
      <c r="H5082" s="4" t="s">
        <v>16231</v>
      </c>
      <c r="I5082" s="4" t="s">
        <v>16192</v>
      </c>
      <c r="J5082" s="4" t="s">
        <v>16232</v>
      </c>
      <c r="K5082" s="4" t="s">
        <v>16233</v>
      </c>
      <c r="L5082" s="5">
        <v>22001</v>
      </c>
    </row>
    <row r="5083" spans="1:12" x14ac:dyDescent="0.25">
      <c r="A5083" s="3" t="s">
        <v>15973</v>
      </c>
      <c r="B5083" s="4" t="s">
        <v>16152</v>
      </c>
      <c r="C5083" s="4" t="s">
        <v>14</v>
      </c>
      <c r="D5083" s="4" t="s">
        <v>15</v>
      </c>
      <c r="E5083" s="5" t="str">
        <f>"9030155"</f>
        <v>9030155</v>
      </c>
      <c r="F5083" s="3" t="s">
        <v>16234</v>
      </c>
      <c r="G5083" s="5">
        <v>2710556175</v>
      </c>
      <c r="H5083" s="4" t="s">
        <v>16235</v>
      </c>
      <c r="I5083" s="4" t="s">
        <v>16155</v>
      </c>
      <c r="J5083" s="4" t="s">
        <v>16236</v>
      </c>
      <c r="K5083" s="4" t="s">
        <v>16237</v>
      </c>
      <c r="L5083" s="5">
        <v>22012</v>
      </c>
    </row>
    <row r="5084" spans="1:12" x14ac:dyDescent="0.25">
      <c r="A5084" s="3" t="s">
        <v>15973</v>
      </c>
      <c r="B5084" s="4" t="s">
        <v>16152</v>
      </c>
      <c r="C5084" s="4" t="s">
        <v>14</v>
      </c>
      <c r="D5084" s="4" t="s">
        <v>15</v>
      </c>
      <c r="E5084" s="5" t="str">
        <f>"9030235"</f>
        <v>9030235</v>
      </c>
      <c r="F5084" s="3" t="s">
        <v>16238</v>
      </c>
      <c r="G5084" s="5">
        <v>2757022275</v>
      </c>
      <c r="H5084" s="4" t="s">
        <v>16239</v>
      </c>
      <c r="I5084" s="4" t="s">
        <v>16216</v>
      </c>
      <c r="J5084" s="4" t="s">
        <v>16240</v>
      </c>
      <c r="K5084" s="4" t="s">
        <v>16241</v>
      </c>
      <c r="L5084" s="5">
        <v>22300</v>
      </c>
    </row>
    <row r="5085" spans="1:12" x14ac:dyDescent="0.25">
      <c r="A5085" s="3" t="s">
        <v>15973</v>
      </c>
      <c r="B5085" s="4" t="s">
        <v>16152</v>
      </c>
      <c r="C5085" s="4" t="s">
        <v>14</v>
      </c>
      <c r="D5085" s="4" t="s">
        <v>15</v>
      </c>
      <c r="E5085" s="5" t="str">
        <f>"9030193"</f>
        <v>9030193</v>
      </c>
      <c r="F5085" s="3" t="s">
        <v>16242</v>
      </c>
      <c r="G5085" s="5">
        <v>2791022326</v>
      </c>
      <c r="H5085" s="4" t="s">
        <v>16243</v>
      </c>
      <c r="I5085" s="4" t="s">
        <v>16163</v>
      </c>
      <c r="J5085" s="4" t="s">
        <v>16164</v>
      </c>
      <c r="K5085" s="4" t="s">
        <v>16165</v>
      </c>
      <c r="L5085" s="5">
        <v>22200</v>
      </c>
    </row>
    <row r="5086" spans="1:12" x14ac:dyDescent="0.25">
      <c r="A5086" s="3" t="s">
        <v>15973</v>
      </c>
      <c r="B5086" s="4" t="s">
        <v>16152</v>
      </c>
      <c r="C5086" s="4" t="s">
        <v>25</v>
      </c>
      <c r="D5086" s="4" t="s">
        <v>26</v>
      </c>
      <c r="E5086" s="5" t="str">
        <f>"9030311"</f>
        <v>9030311</v>
      </c>
      <c r="F5086" s="3" t="s">
        <v>16244</v>
      </c>
      <c r="G5086" s="5">
        <v>2710239037</v>
      </c>
      <c r="H5086" s="4" t="s">
        <v>16245</v>
      </c>
      <c r="I5086" s="4" t="s">
        <v>16155</v>
      </c>
      <c r="J5086" s="4" t="s">
        <v>16155</v>
      </c>
      <c r="K5086" s="4" t="s">
        <v>16246</v>
      </c>
      <c r="L5086" s="5">
        <v>22131</v>
      </c>
    </row>
    <row r="5087" spans="1:12" x14ac:dyDescent="0.25">
      <c r="A5087" s="3" t="s">
        <v>15973</v>
      </c>
      <c r="B5087" s="4" t="s">
        <v>16152</v>
      </c>
      <c r="C5087" s="4" t="s">
        <v>14</v>
      </c>
      <c r="D5087" s="4" t="s">
        <v>15</v>
      </c>
      <c r="E5087" s="5" t="str">
        <f>"9030325"</f>
        <v>9030325</v>
      </c>
      <c r="F5087" s="3" t="s">
        <v>16247</v>
      </c>
      <c r="G5087" s="5">
        <v>2791022446</v>
      </c>
      <c r="H5087" s="4" t="s">
        <v>16248</v>
      </c>
      <c r="I5087" s="4" t="s">
        <v>16163</v>
      </c>
      <c r="J5087" s="4" t="s">
        <v>16164</v>
      </c>
      <c r="K5087" s="4" t="s">
        <v>16213</v>
      </c>
      <c r="L5087" s="5">
        <v>22200</v>
      </c>
    </row>
    <row r="5088" spans="1:12" x14ac:dyDescent="0.25">
      <c r="A5088" s="3" t="s">
        <v>15973</v>
      </c>
      <c r="B5088" s="4" t="s">
        <v>16152</v>
      </c>
      <c r="C5088" s="4" t="s">
        <v>14</v>
      </c>
      <c r="D5088" s="4" t="s">
        <v>15</v>
      </c>
      <c r="E5088" s="5" t="str">
        <f>"9030244"</f>
        <v>9030244</v>
      </c>
      <c r="F5088" s="3" t="s">
        <v>16249</v>
      </c>
      <c r="G5088" s="5">
        <v>2755180008</v>
      </c>
      <c r="H5088" s="4" t="s">
        <v>16250</v>
      </c>
      <c r="I5088" s="4" t="s">
        <v>16192</v>
      </c>
      <c r="J5088" s="4" t="s">
        <v>16229</v>
      </c>
      <c r="K5088" s="4" t="s">
        <v>16251</v>
      </c>
      <c r="L5088" s="5">
        <v>22001</v>
      </c>
    </row>
    <row r="5089" spans="1:12" x14ac:dyDescent="0.25">
      <c r="A5089" s="3" t="s">
        <v>15973</v>
      </c>
      <c r="B5089" s="4" t="s">
        <v>16152</v>
      </c>
      <c r="C5089" s="4" t="s">
        <v>14</v>
      </c>
      <c r="D5089" s="4" t="s">
        <v>15</v>
      </c>
      <c r="E5089" s="5" t="str">
        <f>"9030363"</f>
        <v>9030363</v>
      </c>
      <c r="F5089" s="3" t="s">
        <v>16252</v>
      </c>
      <c r="G5089" s="5">
        <v>2710226285</v>
      </c>
      <c r="H5089" s="4" t="s">
        <v>16253</v>
      </c>
      <c r="I5089" s="4" t="s">
        <v>16155</v>
      </c>
      <c r="J5089" s="4" t="s">
        <v>16155</v>
      </c>
      <c r="K5089" s="4" t="s">
        <v>16254</v>
      </c>
      <c r="L5089" s="5">
        <v>22100</v>
      </c>
    </row>
    <row r="5090" spans="1:12" x14ac:dyDescent="0.25">
      <c r="A5090" s="3" t="s">
        <v>15973</v>
      </c>
      <c r="B5090" s="4" t="s">
        <v>16152</v>
      </c>
      <c r="C5090" s="4" t="s">
        <v>14</v>
      </c>
      <c r="D5090" s="4" t="s">
        <v>15</v>
      </c>
      <c r="E5090" s="5" t="str">
        <f>"9030102"</f>
        <v>9030102</v>
      </c>
      <c r="F5090" s="3" t="s">
        <v>16255</v>
      </c>
      <c r="G5090" s="5">
        <v>2710222968</v>
      </c>
      <c r="H5090" s="4" t="s">
        <v>16256</v>
      </c>
      <c r="I5090" s="4" t="s">
        <v>16155</v>
      </c>
      <c r="J5090" s="4" t="s">
        <v>16156</v>
      </c>
      <c r="K5090" s="4" t="s">
        <v>16257</v>
      </c>
      <c r="L5090" s="5">
        <v>22132</v>
      </c>
    </row>
    <row r="5091" spans="1:12" x14ac:dyDescent="0.25">
      <c r="A5091" s="3" t="s">
        <v>15973</v>
      </c>
      <c r="B5091" s="4" t="s">
        <v>16152</v>
      </c>
      <c r="C5091" s="4" t="s">
        <v>14</v>
      </c>
      <c r="D5091" s="4" t="s">
        <v>15</v>
      </c>
      <c r="E5091" s="5" t="str">
        <f>"9030105"</f>
        <v>9030105</v>
      </c>
      <c r="F5091" s="3" t="s">
        <v>16258</v>
      </c>
      <c r="G5091" s="5">
        <v>2710235376</v>
      </c>
      <c r="H5091" s="4" t="s">
        <v>16259</v>
      </c>
      <c r="I5091" s="4" t="s">
        <v>16155</v>
      </c>
      <c r="J5091" s="4" t="s">
        <v>16156</v>
      </c>
      <c r="K5091" s="4" t="s">
        <v>16260</v>
      </c>
      <c r="L5091" s="5">
        <v>22132</v>
      </c>
    </row>
    <row r="5092" spans="1:12" x14ac:dyDescent="0.25">
      <c r="A5092" s="3" t="s">
        <v>15973</v>
      </c>
      <c r="B5092" s="4" t="s">
        <v>16152</v>
      </c>
      <c r="C5092" s="4" t="s">
        <v>14</v>
      </c>
      <c r="D5092" s="4" t="s">
        <v>15</v>
      </c>
      <c r="E5092" s="5" t="str">
        <f>"9030352"</f>
        <v>9030352</v>
      </c>
      <c r="F5092" s="3" t="s">
        <v>16261</v>
      </c>
      <c r="G5092" s="5">
        <v>2710237596</v>
      </c>
      <c r="H5092" s="4" t="s">
        <v>16262</v>
      </c>
      <c r="I5092" s="4" t="s">
        <v>16155</v>
      </c>
      <c r="J5092" s="4" t="s">
        <v>16156</v>
      </c>
      <c r="K5092" s="4" t="s">
        <v>16263</v>
      </c>
      <c r="L5092" s="5">
        <v>22131</v>
      </c>
    </row>
    <row r="5093" spans="1:12" x14ac:dyDescent="0.25">
      <c r="A5093" s="3" t="s">
        <v>15973</v>
      </c>
      <c r="B5093" s="4" t="s">
        <v>16152</v>
      </c>
      <c r="C5093" s="4" t="s">
        <v>14</v>
      </c>
      <c r="D5093" s="4" t="s">
        <v>15</v>
      </c>
      <c r="E5093" s="5" t="str">
        <f>"9030101"</f>
        <v>9030101</v>
      </c>
      <c r="F5093" s="3" t="s">
        <v>16264</v>
      </c>
      <c r="G5093" s="5">
        <v>2710223857</v>
      </c>
      <c r="H5093" s="4" t="s">
        <v>16265</v>
      </c>
      <c r="I5093" s="4" t="s">
        <v>16155</v>
      </c>
      <c r="J5093" s="4" t="s">
        <v>16156</v>
      </c>
      <c r="K5093" s="4" t="s">
        <v>16266</v>
      </c>
      <c r="L5093" s="5">
        <v>22131</v>
      </c>
    </row>
    <row r="5094" spans="1:12" x14ac:dyDescent="0.25">
      <c r="A5094" s="3" t="s">
        <v>15973</v>
      </c>
      <c r="B5094" s="4" t="s">
        <v>16152</v>
      </c>
      <c r="C5094" s="4" t="s">
        <v>25</v>
      </c>
      <c r="D5094" s="4" t="s">
        <v>26</v>
      </c>
      <c r="E5094" s="5" t="str">
        <f>"9030357"</f>
        <v>9030357</v>
      </c>
      <c r="F5094" s="3" t="s">
        <v>16267</v>
      </c>
      <c r="G5094" s="5">
        <v>2710223586</v>
      </c>
      <c r="H5094" s="4" t="s">
        <v>16268</v>
      </c>
      <c r="I5094" s="4" t="s">
        <v>16155</v>
      </c>
      <c r="J5094" s="4" t="s">
        <v>16155</v>
      </c>
      <c r="K5094" s="4" t="s">
        <v>16263</v>
      </c>
      <c r="L5094" s="5">
        <v>22131</v>
      </c>
    </row>
    <row r="5095" spans="1:12" x14ac:dyDescent="0.25">
      <c r="A5095" s="3" t="s">
        <v>15973</v>
      </c>
      <c r="B5095" s="4" t="s">
        <v>16152</v>
      </c>
      <c r="C5095" s="4" t="s">
        <v>14</v>
      </c>
      <c r="D5095" s="4" t="s">
        <v>15</v>
      </c>
      <c r="E5095" s="5" t="str">
        <f>"9030104"</f>
        <v>9030104</v>
      </c>
      <c r="F5095" s="3" t="s">
        <v>16269</v>
      </c>
      <c r="G5095" s="5">
        <v>2710224025</v>
      </c>
      <c r="H5095" s="4" t="s">
        <v>16270</v>
      </c>
      <c r="I5095" s="4" t="s">
        <v>16155</v>
      </c>
      <c r="J5095" s="4" t="s">
        <v>16156</v>
      </c>
      <c r="K5095" s="4" t="s">
        <v>16246</v>
      </c>
      <c r="L5095" s="5">
        <v>22131</v>
      </c>
    </row>
    <row r="5096" spans="1:12" x14ac:dyDescent="0.25">
      <c r="A5096" s="3" t="s">
        <v>15973</v>
      </c>
      <c r="B5096" s="4" t="s">
        <v>16152</v>
      </c>
      <c r="C5096" s="4" t="s">
        <v>14</v>
      </c>
      <c r="D5096" s="4" t="s">
        <v>15</v>
      </c>
      <c r="E5096" s="5" t="str">
        <f>"9030194"</f>
        <v>9030194</v>
      </c>
      <c r="F5096" s="3" t="s">
        <v>16271</v>
      </c>
      <c r="G5096" s="5">
        <v>2791022182</v>
      </c>
      <c r="H5096" s="4" t="s">
        <v>16272</v>
      </c>
      <c r="I5096" s="4" t="s">
        <v>16163</v>
      </c>
      <c r="J5096" s="4" t="s">
        <v>16273</v>
      </c>
      <c r="K5096" s="4" t="s">
        <v>16274</v>
      </c>
      <c r="L5096" s="5">
        <v>22200</v>
      </c>
    </row>
    <row r="5097" spans="1:12" x14ac:dyDescent="0.25">
      <c r="A5097" s="3" t="s">
        <v>15973</v>
      </c>
      <c r="B5097" s="4" t="s">
        <v>16152</v>
      </c>
      <c r="C5097" s="4" t="s">
        <v>14</v>
      </c>
      <c r="D5097" s="4" t="s">
        <v>15</v>
      </c>
      <c r="E5097" s="5" t="str">
        <f>"9030098"</f>
        <v>9030098</v>
      </c>
      <c r="F5097" s="3" t="s">
        <v>16275</v>
      </c>
      <c r="G5097" s="5">
        <v>2710223571</v>
      </c>
      <c r="H5097" s="4" t="s">
        <v>16276</v>
      </c>
      <c r="I5097" s="4" t="s">
        <v>16155</v>
      </c>
      <c r="J5097" s="4" t="s">
        <v>16277</v>
      </c>
      <c r="K5097" s="4" t="s">
        <v>16171</v>
      </c>
      <c r="L5097" s="5">
        <v>22131</v>
      </c>
    </row>
    <row r="5098" spans="1:12" x14ac:dyDescent="0.25">
      <c r="A5098" s="3" t="s">
        <v>15973</v>
      </c>
      <c r="B5098" s="4" t="s">
        <v>16152</v>
      </c>
      <c r="C5098" s="4" t="s">
        <v>14</v>
      </c>
      <c r="D5098" s="4" t="s">
        <v>15</v>
      </c>
      <c r="E5098" s="5" t="str">
        <f>"9030287"</f>
        <v>9030287</v>
      </c>
      <c r="F5098" s="3" t="s">
        <v>16278</v>
      </c>
      <c r="G5098" s="5">
        <v>2710225601</v>
      </c>
      <c r="H5098" s="4" t="s">
        <v>16279</v>
      </c>
      <c r="I5098" s="4" t="s">
        <v>16155</v>
      </c>
      <c r="J5098" s="4" t="s">
        <v>16156</v>
      </c>
      <c r="K5098" s="4" t="s">
        <v>16280</v>
      </c>
      <c r="L5098" s="5">
        <v>22132</v>
      </c>
    </row>
    <row r="5099" spans="1:12" x14ac:dyDescent="0.25">
      <c r="A5099" s="3" t="s">
        <v>15973</v>
      </c>
      <c r="B5099" s="4" t="s">
        <v>16281</v>
      </c>
      <c r="C5099" s="4" t="s">
        <v>25</v>
      </c>
      <c r="D5099" s="4" t="s">
        <v>26</v>
      </c>
      <c r="E5099" s="5" t="str">
        <f>"9280002"</f>
        <v>9280002</v>
      </c>
      <c r="F5099" s="3" t="s">
        <v>16282</v>
      </c>
      <c r="G5099" s="5">
        <v>2741020260</v>
      </c>
      <c r="H5099" s="4" t="s">
        <v>16283</v>
      </c>
      <c r="I5099" s="4" t="s">
        <v>16284</v>
      </c>
      <c r="J5099" s="4" t="s">
        <v>16285</v>
      </c>
      <c r="K5099" s="4" t="s">
        <v>16286</v>
      </c>
      <c r="L5099" s="5">
        <v>20131</v>
      </c>
    </row>
    <row r="5100" spans="1:12" x14ac:dyDescent="0.25">
      <c r="A5100" s="3" t="s">
        <v>15973</v>
      </c>
      <c r="B5100" s="4" t="s">
        <v>16281</v>
      </c>
      <c r="C5100" s="4" t="s">
        <v>25</v>
      </c>
      <c r="D5100" s="4" t="s">
        <v>26</v>
      </c>
      <c r="E5100" s="5" t="str">
        <f>"9280161"</f>
        <v>9280161</v>
      </c>
      <c r="F5100" s="3" t="s">
        <v>16287</v>
      </c>
      <c r="G5100" s="5">
        <v>2741024025</v>
      </c>
      <c r="H5100" s="4" t="s">
        <v>16288</v>
      </c>
      <c r="I5100" s="4" t="s">
        <v>16284</v>
      </c>
      <c r="J5100" s="4" t="s">
        <v>16285</v>
      </c>
      <c r="K5100" s="4" t="s">
        <v>16289</v>
      </c>
      <c r="L5100" s="5">
        <v>20131</v>
      </c>
    </row>
    <row r="5101" spans="1:12" x14ac:dyDescent="0.25">
      <c r="A5101" s="3" t="s">
        <v>15973</v>
      </c>
      <c r="B5101" s="4" t="s">
        <v>16281</v>
      </c>
      <c r="C5101" s="4" t="s">
        <v>25</v>
      </c>
      <c r="D5101" s="4" t="s">
        <v>26</v>
      </c>
      <c r="E5101" s="5" t="str">
        <f>"9280166"</f>
        <v>9280166</v>
      </c>
      <c r="F5101" s="3" t="s">
        <v>16290</v>
      </c>
      <c r="G5101" s="5">
        <v>2741026708</v>
      </c>
      <c r="H5101" s="4" t="s">
        <v>16291</v>
      </c>
      <c r="I5101" s="4" t="s">
        <v>16284</v>
      </c>
      <c r="J5101" s="4" t="s">
        <v>16285</v>
      </c>
      <c r="K5101" s="4" t="s">
        <v>16292</v>
      </c>
      <c r="L5101" s="5">
        <v>20131</v>
      </c>
    </row>
    <row r="5102" spans="1:12" x14ac:dyDescent="0.25">
      <c r="A5102" s="3" t="s">
        <v>15973</v>
      </c>
      <c r="B5102" s="4" t="s">
        <v>16281</v>
      </c>
      <c r="C5102" s="4" t="s">
        <v>25</v>
      </c>
      <c r="D5102" s="4" t="s">
        <v>26</v>
      </c>
      <c r="E5102" s="5" t="str">
        <f>"9280178"</f>
        <v>9280178</v>
      </c>
      <c r="F5102" s="3" t="s">
        <v>16293</v>
      </c>
      <c r="G5102" s="5">
        <v>2741021071</v>
      </c>
      <c r="H5102" s="4" t="s">
        <v>16294</v>
      </c>
      <c r="I5102" s="4" t="s">
        <v>16284</v>
      </c>
      <c r="J5102" s="4" t="s">
        <v>16285</v>
      </c>
      <c r="K5102" s="4" t="s">
        <v>16295</v>
      </c>
      <c r="L5102" s="5">
        <v>20100</v>
      </c>
    </row>
    <row r="5103" spans="1:12" x14ac:dyDescent="0.25">
      <c r="A5103" s="3" t="s">
        <v>15973</v>
      </c>
      <c r="B5103" s="4" t="s">
        <v>16281</v>
      </c>
      <c r="C5103" s="4" t="s">
        <v>25</v>
      </c>
      <c r="D5103" s="4" t="s">
        <v>26</v>
      </c>
      <c r="E5103" s="5" t="str">
        <f>"9280212"</f>
        <v>9280212</v>
      </c>
      <c r="F5103" s="3" t="s">
        <v>16296</v>
      </c>
      <c r="G5103" s="5">
        <v>2741027757</v>
      </c>
      <c r="H5103" s="4" t="s">
        <v>16297</v>
      </c>
      <c r="I5103" s="4" t="s">
        <v>16284</v>
      </c>
      <c r="J5103" s="4" t="s">
        <v>16285</v>
      </c>
      <c r="K5103" s="4" t="s">
        <v>16298</v>
      </c>
      <c r="L5103" s="5">
        <v>20100</v>
      </c>
    </row>
    <row r="5104" spans="1:12" x14ac:dyDescent="0.25">
      <c r="A5104" s="3" t="s">
        <v>15973</v>
      </c>
      <c r="B5104" s="4" t="s">
        <v>16281</v>
      </c>
      <c r="C5104" s="4" t="s">
        <v>25</v>
      </c>
      <c r="D5104" s="4" t="s">
        <v>26</v>
      </c>
      <c r="E5104" s="5" t="str">
        <f>"9280224"</f>
        <v>9280224</v>
      </c>
      <c r="F5104" s="3" t="s">
        <v>16299</v>
      </c>
      <c r="G5104" s="5">
        <v>2741027059</v>
      </c>
      <c r="H5104" s="4" t="s">
        <v>16300</v>
      </c>
      <c r="I5104" s="4" t="s">
        <v>16284</v>
      </c>
      <c r="J5104" s="4" t="s">
        <v>16285</v>
      </c>
      <c r="K5104" s="4" t="s">
        <v>16301</v>
      </c>
      <c r="L5104" s="5">
        <v>20131</v>
      </c>
    </row>
    <row r="5105" spans="1:12" x14ac:dyDescent="0.25">
      <c r="A5105" s="3" t="s">
        <v>15973</v>
      </c>
      <c r="B5105" s="4" t="s">
        <v>16281</v>
      </c>
      <c r="C5105" s="4" t="s">
        <v>25</v>
      </c>
      <c r="D5105" s="4" t="s">
        <v>26</v>
      </c>
      <c r="E5105" s="5" t="str">
        <f>"9280228"</f>
        <v>9280228</v>
      </c>
      <c r="F5105" s="3" t="s">
        <v>16302</v>
      </c>
      <c r="G5105" s="5">
        <v>2741071661</v>
      </c>
      <c r="H5105" s="4" t="s">
        <v>16303</v>
      </c>
      <c r="I5105" s="4" t="s">
        <v>16284</v>
      </c>
      <c r="J5105" s="4" t="s">
        <v>16285</v>
      </c>
      <c r="K5105" s="4" t="s">
        <v>16304</v>
      </c>
      <c r="L5105" s="5">
        <v>20132</v>
      </c>
    </row>
    <row r="5106" spans="1:12" x14ac:dyDescent="0.25">
      <c r="A5106" s="3" t="s">
        <v>15973</v>
      </c>
      <c r="B5106" s="4" t="s">
        <v>16281</v>
      </c>
      <c r="C5106" s="4" t="s">
        <v>25</v>
      </c>
      <c r="D5106" s="4" t="s">
        <v>26</v>
      </c>
      <c r="E5106" s="5" t="str">
        <f>"9280181"</f>
        <v>9280181</v>
      </c>
      <c r="F5106" s="3" t="s">
        <v>16305</v>
      </c>
      <c r="G5106" s="5">
        <v>2741036982</v>
      </c>
      <c r="H5106" s="4" t="s">
        <v>16306</v>
      </c>
      <c r="I5106" s="4" t="s">
        <v>16284</v>
      </c>
      <c r="J5106" s="4" t="s">
        <v>16307</v>
      </c>
      <c r="K5106" s="4" t="s">
        <v>16308</v>
      </c>
      <c r="L5106" s="5">
        <v>20100</v>
      </c>
    </row>
    <row r="5107" spans="1:12" x14ac:dyDescent="0.25">
      <c r="A5107" s="3" t="s">
        <v>15973</v>
      </c>
      <c r="B5107" s="4" t="s">
        <v>16281</v>
      </c>
      <c r="C5107" s="4" t="s">
        <v>25</v>
      </c>
      <c r="D5107" s="4" t="s">
        <v>26</v>
      </c>
      <c r="E5107" s="5" t="str">
        <f>"9280168"</f>
        <v>9280168</v>
      </c>
      <c r="F5107" s="3" t="s">
        <v>16309</v>
      </c>
      <c r="G5107" s="5">
        <v>2741031362</v>
      </c>
      <c r="H5107" s="4" t="s">
        <v>16310</v>
      </c>
      <c r="I5107" s="4" t="s">
        <v>16284</v>
      </c>
      <c r="J5107" s="4" t="s">
        <v>16311</v>
      </c>
      <c r="K5107" s="4" t="s">
        <v>16312</v>
      </c>
      <c r="L5107" s="5">
        <v>20007</v>
      </c>
    </row>
    <row r="5108" spans="1:12" x14ac:dyDescent="0.25">
      <c r="A5108" s="3" t="s">
        <v>15973</v>
      </c>
      <c r="B5108" s="4" t="s">
        <v>16281</v>
      </c>
      <c r="C5108" s="4" t="s">
        <v>14</v>
      </c>
      <c r="D5108" s="4" t="s">
        <v>15</v>
      </c>
      <c r="E5108" s="5" t="str">
        <f>"9280018"</f>
        <v>9280018</v>
      </c>
      <c r="F5108" s="3" t="s">
        <v>16313</v>
      </c>
      <c r="G5108" s="5">
        <v>2741097283</v>
      </c>
      <c r="H5108" s="4" t="s">
        <v>16314</v>
      </c>
      <c r="I5108" s="4" t="s">
        <v>16284</v>
      </c>
      <c r="J5108" s="4"/>
      <c r="K5108" s="4" t="s">
        <v>16315</v>
      </c>
      <c r="L5108" s="5">
        <v>20008</v>
      </c>
    </row>
    <row r="5109" spans="1:12" x14ac:dyDescent="0.25">
      <c r="A5109" s="3" t="s">
        <v>15973</v>
      </c>
      <c r="B5109" s="4" t="s">
        <v>16281</v>
      </c>
      <c r="C5109" s="4" t="s">
        <v>14</v>
      </c>
      <c r="D5109" s="4" t="s">
        <v>15</v>
      </c>
      <c r="E5109" s="5" t="str">
        <f>"9280037"</f>
        <v>9280037</v>
      </c>
      <c r="F5109" s="3" t="s">
        <v>16316</v>
      </c>
      <c r="G5109" s="5">
        <v>2741036355</v>
      </c>
      <c r="H5109" s="4" t="s">
        <v>16317</v>
      </c>
      <c r="I5109" s="4" t="s">
        <v>16284</v>
      </c>
      <c r="J5109" s="4" t="s">
        <v>16308</v>
      </c>
      <c r="K5109" s="4" t="s">
        <v>16318</v>
      </c>
      <c r="L5109" s="5">
        <v>20100</v>
      </c>
    </row>
    <row r="5110" spans="1:12" x14ac:dyDescent="0.25">
      <c r="A5110" s="3" t="s">
        <v>15973</v>
      </c>
      <c r="B5110" s="4" t="s">
        <v>16281</v>
      </c>
      <c r="C5110" s="4" t="s">
        <v>14</v>
      </c>
      <c r="D5110" s="4" t="s">
        <v>15</v>
      </c>
      <c r="E5110" s="5" t="str">
        <f>"9280010"</f>
        <v>9280010</v>
      </c>
      <c r="F5110" s="3" t="s">
        <v>16319</v>
      </c>
      <c r="G5110" s="5">
        <v>2741021980</v>
      </c>
      <c r="H5110" s="4" t="s">
        <v>16320</v>
      </c>
      <c r="I5110" s="4" t="s">
        <v>16284</v>
      </c>
      <c r="J5110" s="4" t="s">
        <v>16321</v>
      </c>
      <c r="K5110" s="4" t="s">
        <v>16322</v>
      </c>
      <c r="L5110" s="5">
        <v>20132</v>
      </c>
    </row>
    <row r="5111" spans="1:12" x14ac:dyDescent="0.25">
      <c r="A5111" s="3" t="s">
        <v>15973</v>
      </c>
      <c r="B5111" s="4" t="s">
        <v>16281</v>
      </c>
      <c r="C5111" s="4" t="s">
        <v>25</v>
      </c>
      <c r="D5111" s="4" t="s">
        <v>26</v>
      </c>
      <c r="E5111" s="5" t="str">
        <f>"9280169"</f>
        <v>9280169</v>
      </c>
      <c r="F5111" s="3" t="s">
        <v>16323</v>
      </c>
      <c r="G5111" s="5">
        <v>2741086120</v>
      </c>
      <c r="H5111" s="4" t="s">
        <v>16324</v>
      </c>
      <c r="I5111" s="4" t="s">
        <v>16284</v>
      </c>
      <c r="J5111" s="4" t="s">
        <v>16325</v>
      </c>
      <c r="K5111" s="4" t="s">
        <v>16326</v>
      </c>
      <c r="L5111" s="5">
        <v>20006</v>
      </c>
    </row>
    <row r="5112" spans="1:12" x14ac:dyDescent="0.25">
      <c r="A5112" s="3" t="s">
        <v>15973</v>
      </c>
      <c r="B5112" s="4" t="s">
        <v>16281</v>
      </c>
      <c r="C5112" s="4" t="s">
        <v>25</v>
      </c>
      <c r="D5112" s="4" t="s">
        <v>26</v>
      </c>
      <c r="E5112" s="5" t="str">
        <f>"9280233"</f>
        <v>9280233</v>
      </c>
      <c r="F5112" s="3" t="s">
        <v>16327</v>
      </c>
      <c r="G5112" s="5">
        <v>2744063163</v>
      </c>
      <c r="H5112" s="4" t="s">
        <v>16328</v>
      </c>
      <c r="I5112" s="4" t="s">
        <v>16329</v>
      </c>
      <c r="J5112" s="4" t="s">
        <v>13010</v>
      </c>
      <c r="K5112" s="4" t="s">
        <v>16330</v>
      </c>
      <c r="L5112" s="5">
        <v>20300</v>
      </c>
    </row>
    <row r="5113" spans="1:12" x14ac:dyDescent="0.25">
      <c r="A5113" s="3" t="s">
        <v>15973</v>
      </c>
      <c r="B5113" s="4" t="s">
        <v>16281</v>
      </c>
      <c r="C5113" s="4" t="s">
        <v>25</v>
      </c>
      <c r="D5113" s="4" t="s">
        <v>26</v>
      </c>
      <c r="E5113" s="5" t="str">
        <f>"9280187"</f>
        <v>9280187</v>
      </c>
      <c r="F5113" s="3" t="s">
        <v>16331</v>
      </c>
      <c r="G5113" s="5">
        <v>2744064511</v>
      </c>
      <c r="H5113" s="4" t="s">
        <v>16332</v>
      </c>
      <c r="I5113" s="4" t="s">
        <v>16329</v>
      </c>
      <c r="J5113" s="4" t="s">
        <v>16333</v>
      </c>
      <c r="K5113" s="4" t="s">
        <v>16334</v>
      </c>
      <c r="L5113" s="5">
        <v>20300</v>
      </c>
    </row>
    <row r="5114" spans="1:12" x14ac:dyDescent="0.25">
      <c r="A5114" s="3" t="s">
        <v>15973</v>
      </c>
      <c r="B5114" s="4" t="s">
        <v>16281</v>
      </c>
      <c r="C5114" s="4" t="s">
        <v>25</v>
      </c>
      <c r="D5114" s="4" t="s">
        <v>26</v>
      </c>
      <c r="E5114" s="5" t="str">
        <f>"9280234"</f>
        <v>9280234</v>
      </c>
      <c r="F5114" s="3" t="s">
        <v>16335</v>
      </c>
      <c r="G5114" s="5">
        <v>2744063162</v>
      </c>
      <c r="H5114" s="4" t="s">
        <v>16336</v>
      </c>
      <c r="I5114" s="4" t="s">
        <v>16329</v>
      </c>
      <c r="J5114" s="4" t="s">
        <v>16333</v>
      </c>
      <c r="K5114" s="4" t="s">
        <v>16337</v>
      </c>
      <c r="L5114" s="5">
        <v>20300</v>
      </c>
    </row>
    <row r="5115" spans="1:12" x14ac:dyDescent="0.25">
      <c r="A5115" s="3" t="s">
        <v>15973</v>
      </c>
      <c r="B5115" s="4" t="s">
        <v>16281</v>
      </c>
      <c r="C5115" s="4" t="s">
        <v>25</v>
      </c>
      <c r="D5115" s="4" t="s">
        <v>26</v>
      </c>
      <c r="E5115" s="5" t="str">
        <f>"9280012"</f>
        <v>9280012</v>
      </c>
      <c r="F5115" s="3" t="s">
        <v>16338</v>
      </c>
      <c r="G5115" s="5">
        <v>2744063168</v>
      </c>
      <c r="H5115" s="4" t="s">
        <v>16339</v>
      </c>
      <c r="I5115" s="4" t="s">
        <v>16329</v>
      </c>
      <c r="J5115" s="4" t="s">
        <v>16333</v>
      </c>
      <c r="K5115" s="4" t="s">
        <v>16340</v>
      </c>
      <c r="L5115" s="5">
        <v>20300</v>
      </c>
    </row>
    <row r="5116" spans="1:12" x14ac:dyDescent="0.25">
      <c r="A5116" s="3" t="s">
        <v>15973</v>
      </c>
      <c r="B5116" s="4" t="s">
        <v>16281</v>
      </c>
      <c r="C5116" s="4" t="s">
        <v>25</v>
      </c>
      <c r="D5116" s="4" t="s">
        <v>26</v>
      </c>
      <c r="E5116" s="5" t="str">
        <f>"9280231"</f>
        <v>9280231</v>
      </c>
      <c r="F5116" s="3" t="s">
        <v>16341</v>
      </c>
      <c r="G5116" s="5">
        <v>2741033546</v>
      </c>
      <c r="H5116" s="4" t="s">
        <v>16342</v>
      </c>
      <c r="I5116" s="4" t="s">
        <v>16284</v>
      </c>
      <c r="J5116" s="4" t="s">
        <v>16343</v>
      </c>
      <c r="K5116" s="4" t="s">
        <v>16344</v>
      </c>
      <c r="L5116" s="5">
        <v>20100</v>
      </c>
    </row>
    <row r="5117" spans="1:12" x14ac:dyDescent="0.25">
      <c r="A5117" s="3" t="s">
        <v>15973</v>
      </c>
      <c r="B5117" s="4" t="s">
        <v>16281</v>
      </c>
      <c r="C5117" s="4" t="s">
        <v>25</v>
      </c>
      <c r="D5117" s="4" t="s">
        <v>26</v>
      </c>
      <c r="E5117" s="5" t="str">
        <f>"9280204"</f>
        <v>9280204</v>
      </c>
      <c r="F5117" s="3" t="s">
        <v>16345</v>
      </c>
      <c r="G5117" s="5">
        <v>2741053734</v>
      </c>
      <c r="H5117" s="4" t="s">
        <v>16346</v>
      </c>
      <c r="I5117" s="4" t="s">
        <v>16347</v>
      </c>
      <c r="J5117" s="4" t="s">
        <v>16348</v>
      </c>
      <c r="K5117" s="4" t="s">
        <v>16349</v>
      </c>
      <c r="L5117" s="5">
        <v>20006</v>
      </c>
    </row>
    <row r="5118" spans="1:12" x14ac:dyDescent="0.25">
      <c r="A5118" s="3" t="s">
        <v>15973</v>
      </c>
      <c r="B5118" s="4" t="s">
        <v>16281</v>
      </c>
      <c r="C5118" s="4" t="s">
        <v>25</v>
      </c>
      <c r="D5118" s="4" t="s">
        <v>26</v>
      </c>
      <c r="E5118" s="5" t="str">
        <f>"9280032"</f>
        <v>9280032</v>
      </c>
      <c r="F5118" s="3" t="s">
        <v>16350</v>
      </c>
      <c r="G5118" s="5">
        <v>2741055330</v>
      </c>
      <c r="H5118" s="4" t="s">
        <v>16351</v>
      </c>
      <c r="I5118" s="4" t="s">
        <v>16347</v>
      </c>
      <c r="J5118" s="4" t="s">
        <v>16352</v>
      </c>
      <c r="K5118" s="4" t="s">
        <v>16353</v>
      </c>
      <c r="L5118" s="5">
        <v>20006</v>
      </c>
    </row>
    <row r="5119" spans="1:12" x14ac:dyDescent="0.25">
      <c r="A5119" s="3" t="s">
        <v>15973</v>
      </c>
      <c r="B5119" s="4" t="s">
        <v>16281</v>
      </c>
      <c r="C5119" s="4" t="s">
        <v>25</v>
      </c>
      <c r="D5119" s="4" t="s">
        <v>26</v>
      </c>
      <c r="E5119" s="5" t="str">
        <f>"9280242"</f>
        <v>9280242</v>
      </c>
      <c r="F5119" s="3" t="s">
        <v>16354</v>
      </c>
      <c r="G5119" s="5">
        <v>2741067000</v>
      </c>
      <c r="H5119" s="4" t="s">
        <v>16355</v>
      </c>
      <c r="I5119" s="4" t="s">
        <v>16329</v>
      </c>
      <c r="J5119" s="4" t="s">
        <v>16356</v>
      </c>
      <c r="K5119" s="4" t="s">
        <v>16357</v>
      </c>
      <c r="L5119" s="5">
        <v>20003</v>
      </c>
    </row>
    <row r="5120" spans="1:12" x14ac:dyDescent="0.25">
      <c r="A5120" s="3" t="s">
        <v>15973</v>
      </c>
      <c r="B5120" s="4" t="s">
        <v>16281</v>
      </c>
      <c r="C5120" s="4" t="s">
        <v>25</v>
      </c>
      <c r="D5120" s="4" t="s">
        <v>26</v>
      </c>
      <c r="E5120" s="5" t="str">
        <f>"9280053"</f>
        <v>9280053</v>
      </c>
      <c r="F5120" s="3" t="s">
        <v>16358</v>
      </c>
      <c r="G5120" s="5">
        <v>2746023480</v>
      </c>
      <c r="H5120" s="4" t="s">
        <v>16359</v>
      </c>
      <c r="I5120" s="4" t="s">
        <v>16360</v>
      </c>
      <c r="J5120" s="4" t="s">
        <v>16360</v>
      </c>
      <c r="K5120" s="4" t="s">
        <v>16361</v>
      </c>
      <c r="L5120" s="5">
        <v>20500</v>
      </c>
    </row>
    <row r="5121" spans="1:12" x14ac:dyDescent="0.25">
      <c r="A5121" s="3" t="s">
        <v>15973</v>
      </c>
      <c r="B5121" s="4" t="s">
        <v>16281</v>
      </c>
      <c r="C5121" s="4" t="s">
        <v>14</v>
      </c>
      <c r="D5121" s="4" t="s">
        <v>15</v>
      </c>
      <c r="E5121" s="5" t="str">
        <f>"9280040"</f>
        <v>9280040</v>
      </c>
      <c r="F5121" s="3" t="s">
        <v>16362</v>
      </c>
      <c r="G5121" s="5">
        <v>2741048245</v>
      </c>
      <c r="H5121" s="4" t="s">
        <v>16363</v>
      </c>
      <c r="I5121" s="4" t="s">
        <v>16329</v>
      </c>
      <c r="J5121" s="4" t="s">
        <v>16364</v>
      </c>
      <c r="K5121" s="4" t="s">
        <v>16365</v>
      </c>
      <c r="L5121" s="5">
        <v>20100</v>
      </c>
    </row>
    <row r="5122" spans="1:12" x14ac:dyDescent="0.25">
      <c r="A5122" s="3" t="s">
        <v>15973</v>
      </c>
      <c r="B5122" s="4" t="s">
        <v>16281</v>
      </c>
      <c r="C5122" s="4" t="s">
        <v>25</v>
      </c>
      <c r="D5122" s="4" t="s">
        <v>26</v>
      </c>
      <c r="E5122" s="5" t="str">
        <f>"9280180"</f>
        <v>9280180</v>
      </c>
      <c r="F5122" s="3" t="s">
        <v>16366</v>
      </c>
      <c r="G5122" s="5">
        <v>2746023423</v>
      </c>
      <c r="H5122" s="4" t="s">
        <v>16367</v>
      </c>
      <c r="I5122" s="4" t="s">
        <v>16360</v>
      </c>
      <c r="J5122" s="4" t="s">
        <v>16360</v>
      </c>
      <c r="K5122" s="4" t="s">
        <v>16368</v>
      </c>
      <c r="L5122" s="5">
        <v>20500</v>
      </c>
    </row>
    <row r="5123" spans="1:12" x14ac:dyDescent="0.25">
      <c r="A5123" s="3" t="s">
        <v>15973</v>
      </c>
      <c r="B5123" s="4" t="s">
        <v>16281</v>
      </c>
      <c r="C5123" s="4" t="s">
        <v>25</v>
      </c>
      <c r="D5123" s="4" t="s">
        <v>26</v>
      </c>
      <c r="E5123" s="5" t="str">
        <f>"9280162"</f>
        <v>9280162</v>
      </c>
      <c r="F5123" s="3" t="s">
        <v>16369</v>
      </c>
      <c r="G5123" s="5">
        <v>2741055372</v>
      </c>
      <c r="H5123" s="4" t="s">
        <v>16370</v>
      </c>
      <c r="I5123" s="4" t="s">
        <v>16347</v>
      </c>
      <c r="J5123" s="4" t="s">
        <v>16371</v>
      </c>
      <c r="K5123" s="4" t="s">
        <v>16372</v>
      </c>
      <c r="L5123" s="5">
        <v>20001</v>
      </c>
    </row>
    <row r="5124" spans="1:12" x14ac:dyDescent="0.25">
      <c r="A5124" s="3" t="s">
        <v>15973</v>
      </c>
      <c r="B5124" s="4" t="s">
        <v>16281</v>
      </c>
      <c r="C5124" s="4" t="s">
        <v>25</v>
      </c>
      <c r="D5124" s="4" t="s">
        <v>26</v>
      </c>
      <c r="E5124" s="5" t="str">
        <f>"9280167"</f>
        <v>9280167</v>
      </c>
      <c r="F5124" s="3" t="s">
        <v>16373</v>
      </c>
      <c r="G5124" s="5">
        <v>2741087670</v>
      </c>
      <c r="H5124" s="4" t="s">
        <v>16374</v>
      </c>
      <c r="I5124" s="4" t="s">
        <v>16284</v>
      </c>
      <c r="J5124" s="4" t="s">
        <v>16375</v>
      </c>
      <c r="K5124" s="4" t="s">
        <v>16376</v>
      </c>
      <c r="L5124" s="5">
        <v>20011</v>
      </c>
    </row>
    <row r="5125" spans="1:12" x14ac:dyDescent="0.25">
      <c r="A5125" s="3" t="s">
        <v>15973</v>
      </c>
      <c r="B5125" s="4" t="s">
        <v>16281</v>
      </c>
      <c r="C5125" s="4" t="s">
        <v>14</v>
      </c>
      <c r="D5125" s="4" t="s">
        <v>15</v>
      </c>
      <c r="E5125" s="5" t="str">
        <f>"9280030"</f>
        <v>9280030</v>
      </c>
      <c r="F5125" s="3" t="s">
        <v>16377</v>
      </c>
      <c r="G5125" s="5">
        <v>2741086420</v>
      </c>
      <c r="H5125" s="4" t="s">
        <v>16378</v>
      </c>
      <c r="I5125" s="4" t="s">
        <v>16284</v>
      </c>
      <c r="J5125" s="4" t="s">
        <v>16379</v>
      </c>
      <c r="K5125" s="4" t="s">
        <v>16380</v>
      </c>
      <c r="L5125" s="5">
        <v>20006</v>
      </c>
    </row>
    <row r="5126" spans="1:12" x14ac:dyDescent="0.25">
      <c r="A5126" s="3" t="s">
        <v>15973</v>
      </c>
      <c r="B5126" s="4" t="s">
        <v>16281</v>
      </c>
      <c r="C5126" s="4" t="s">
        <v>14</v>
      </c>
      <c r="D5126" s="4" t="s">
        <v>15</v>
      </c>
      <c r="E5126" s="5" t="str">
        <f>"9280033"</f>
        <v>9280033</v>
      </c>
      <c r="F5126" s="3" t="s">
        <v>16381</v>
      </c>
      <c r="G5126" s="5">
        <v>2741055234</v>
      </c>
      <c r="H5126" s="4" t="s">
        <v>16382</v>
      </c>
      <c r="I5126" s="4" t="s">
        <v>16347</v>
      </c>
      <c r="J5126" s="4" t="s">
        <v>16383</v>
      </c>
      <c r="K5126" s="4" t="s">
        <v>16384</v>
      </c>
      <c r="L5126" s="5">
        <v>20006</v>
      </c>
    </row>
    <row r="5127" spans="1:12" x14ac:dyDescent="0.25">
      <c r="A5127" s="3" t="s">
        <v>15973</v>
      </c>
      <c r="B5127" s="4" t="s">
        <v>16281</v>
      </c>
      <c r="C5127" s="4" t="s">
        <v>14</v>
      </c>
      <c r="D5127" s="4" t="s">
        <v>15</v>
      </c>
      <c r="E5127" s="5" t="str">
        <f>"9280008"</f>
        <v>9280008</v>
      </c>
      <c r="F5127" s="3" t="s">
        <v>16385</v>
      </c>
      <c r="G5127" s="5">
        <v>2741023263</v>
      </c>
      <c r="H5127" s="4" t="s">
        <v>16386</v>
      </c>
      <c r="I5127" s="4" t="s">
        <v>16284</v>
      </c>
      <c r="J5127" s="4" t="s">
        <v>16321</v>
      </c>
      <c r="K5127" s="4" t="s">
        <v>16387</v>
      </c>
      <c r="L5127" s="5">
        <v>20131</v>
      </c>
    </row>
    <row r="5128" spans="1:12" x14ac:dyDescent="0.25">
      <c r="A5128" s="3" t="s">
        <v>15973</v>
      </c>
      <c r="B5128" s="4" t="s">
        <v>16281</v>
      </c>
      <c r="C5128" s="4" t="s">
        <v>14</v>
      </c>
      <c r="D5128" s="4" t="s">
        <v>15</v>
      </c>
      <c r="E5128" s="5" t="str">
        <f>"9280063"</f>
        <v>9280063</v>
      </c>
      <c r="F5128" s="3" t="s">
        <v>16388</v>
      </c>
      <c r="G5128" s="5">
        <v>2741093210</v>
      </c>
      <c r="H5128" s="4" t="s">
        <v>16389</v>
      </c>
      <c r="I5128" s="4" t="s">
        <v>16284</v>
      </c>
      <c r="J5128" s="4" t="s">
        <v>16390</v>
      </c>
      <c r="K5128" s="4" t="s">
        <v>16390</v>
      </c>
      <c r="L5128" s="5">
        <v>20004</v>
      </c>
    </row>
    <row r="5129" spans="1:12" x14ac:dyDescent="0.25">
      <c r="A5129" s="3" t="s">
        <v>15973</v>
      </c>
      <c r="B5129" s="4" t="s">
        <v>16281</v>
      </c>
      <c r="C5129" s="4" t="s">
        <v>14</v>
      </c>
      <c r="D5129" s="4" t="s">
        <v>15</v>
      </c>
      <c r="E5129" s="5" t="str">
        <f>"9280208"</f>
        <v>9280208</v>
      </c>
      <c r="F5129" s="3" t="s">
        <v>16391</v>
      </c>
      <c r="G5129" s="5">
        <v>2741026644</v>
      </c>
      <c r="H5129" s="4" t="s">
        <v>16392</v>
      </c>
      <c r="I5129" s="4" t="s">
        <v>16284</v>
      </c>
      <c r="J5129" s="4" t="s">
        <v>16321</v>
      </c>
      <c r="K5129" s="4" t="s">
        <v>16393</v>
      </c>
      <c r="L5129" s="5">
        <v>20132</v>
      </c>
    </row>
    <row r="5130" spans="1:12" x14ac:dyDescent="0.25">
      <c r="A5130" s="3" t="s">
        <v>15973</v>
      </c>
      <c r="B5130" s="4" t="s">
        <v>16281</v>
      </c>
      <c r="C5130" s="4" t="s">
        <v>14</v>
      </c>
      <c r="D5130" s="4" t="s">
        <v>15</v>
      </c>
      <c r="E5130" s="5" t="str">
        <f>"9280057"</f>
        <v>9280057</v>
      </c>
      <c r="F5130" s="3" t="s">
        <v>16394</v>
      </c>
      <c r="G5130" s="5">
        <v>2741086265</v>
      </c>
      <c r="H5130" s="4" t="s">
        <v>16395</v>
      </c>
      <c r="I5130" s="4" t="s">
        <v>16284</v>
      </c>
      <c r="J5130" s="4" t="s">
        <v>16396</v>
      </c>
      <c r="K5130" s="4" t="s">
        <v>16397</v>
      </c>
      <c r="L5130" s="5">
        <v>20011</v>
      </c>
    </row>
    <row r="5131" spans="1:12" ht="30" x14ac:dyDescent="0.25">
      <c r="A5131" s="3" t="s">
        <v>15973</v>
      </c>
      <c r="B5131" s="4" t="s">
        <v>16281</v>
      </c>
      <c r="C5131" s="4" t="s">
        <v>14</v>
      </c>
      <c r="D5131" s="4" t="s">
        <v>15</v>
      </c>
      <c r="E5131" s="5" t="str">
        <f>"9280011"</f>
        <v>9280011</v>
      </c>
      <c r="F5131" s="3" t="s">
        <v>16398</v>
      </c>
      <c r="G5131" s="5">
        <v>2744063167</v>
      </c>
      <c r="H5131" s="4" t="s">
        <v>16399</v>
      </c>
      <c r="I5131" s="4" t="s">
        <v>16329</v>
      </c>
      <c r="J5131" s="4" t="s">
        <v>13010</v>
      </c>
      <c r="K5131" s="4" t="s">
        <v>16400</v>
      </c>
      <c r="L5131" s="5">
        <v>20300</v>
      </c>
    </row>
    <row r="5132" spans="1:12" x14ac:dyDescent="0.25">
      <c r="A5132" s="3" t="s">
        <v>15973</v>
      </c>
      <c r="B5132" s="4" t="s">
        <v>16281</v>
      </c>
      <c r="C5132" s="4" t="s">
        <v>14</v>
      </c>
      <c r="D5132" s="4" t="s">
        <v>15</v>
      </c>
      <c r="E5132" s="5" t="str">
        <f>"9280227"</f>
        <v>9280227</v>
      </c>
      <c r="F5132" s="3" t="s">
        <v>16401</v>
      </c>
      <c r="G5132" s="5">
        <v>2741051870</v>
      </c>
      <c r="H5132" s="4" t="s">
        <v>16402</v>
      </c>
      <c r="I5132" s="4" t="s">
        <v>16347</v>
      </c>
      <c r="J5132" s="4" t="s">
        <v>16372</v>
      </c>
      <c r="K5132" s="4" t="s">
        <v>16372</v>
      </c>
      <c r="L5132" s="5">
        <v>20001</v>
      </c>
    </row>
    <row r="5133" spans="1:12" x14ac:dyDescent="0.25">
      <c r="A5133" s="3" t="s">
        <v>15973</v>
      </c>
      <c r="B5133" s="4" t="s">
        <v>16281</v>
      </c>
      <c r="C5133" s="4" t="s">
        <v>14</v>
      </c>
      <c r="D5133" s="4" t="s">
        <v>15</v>
      </c>
      <c r="E5133" s="5" t="str">
        <f>"9280067"</f>
        <v>9280067</v>
      </c>
      <c r="F5133" s="3" t="s">
        <v>16403</v>
      </c>
      <c r="G5133" s="5">
        <v>2741098241</v>
      </c>
      <c r="H5133" s="4" t="s">
        <v>16404</v>
      </c>
      <c r="I5133" s="4" t="s">
        <v>16284</v>
      </c>
      <c r="J5133" s="4" t="s">
        <v>16405</v>
      </c>
      <c r="K5133" s="4" t="s">
        <v>16406</v>
      </c>
      <c r="L5133" s="5">
        <v>20008</v>
      </c>
    </row>
    <row r="5134" spans="1:12" x14ac:dyDescent="0.25">
      <c r="A5134" s="3" t="s">
        <v>15973</v>
      </c>
      <c r="B5134" s="4" t="s">
        <v>16281</v>
      </c>
      <c r="C5134" s="4" t="s">
        <v>14</v>
      </c>
      <c r="D5134" s="4" t="s">
        <v>15</v>
      </c>
      <c r="E5134" s="5" t="str">
        <f>"9280086"</f>
        <v>9280086</v>
      </c>
      <c r="F5134" s="3" t="s">
        <v>16407</v>
      </c>
      <c r="G5134" s="5">
        <v>2743031249</v>
      </c>
      <c r="H5134" s="4" t="s">
        <v>16408</v>
      </c>
      <c r="I5134" s="4" t="s">
        <v>16409</v>
      </c>
      <c r="J5134" s="4" t="s">
        <v>16410</v>
      </c>
      <c r="K5134" s="4" t="s">
        <v>16410</v>
      </c>
      <c r="L5134" s="5">
        <v>20009</v>
      </c>
    </row>
    <row r="5135" spans="1:12" x14ac:dyDescent="0.25">
      <c r="A5135" s="3" t="s">
        <v>15973</v>
      </c>
      <c r="B5135" s="4" t="s">
        <v>16281</v>
      </c>
      <c r="C5135" s="4" t="s">
        <v>14</v>
      </c>
      <c r="D5135" s="4" t="s">
        <v>15</v>
      </c>
      <c r="E5135" s="5" t="str">
        <f>"9280026"</f>
        <v>9280026</v>
      </c>
      <c r="F5135" s="3" t="s">
        <v>16411</v>
      </c>
      <c r="G5135" s="5">
        <v>2741031214</v>
      </c>
      <c r="H5135" s="4" t="s">
        <v>16412</v>
      </c>
      <c r="I5135" s="4" t="s">
        <v>16284</v>
      </c>
      <c r="J5135" s="4" t="s">
        <v>16312</v>
      </c>
      <c r="K5135" s="4" t="s">
        <v>16312</v>
      </c>
      <c r="L5135" s="5">
        <v>20007</v>
      </c>
    </row>
    <row r="5136" spans="1:12" x14ac:dyDescent="0.25">
      <c r="A5136" s="3" t="s">
        <v>15973</v>
      </c>
      <c r="B5136" s="4" t="s">
        <v>16281</v>
      </c>
      <c r="C5136" s="4" t="s">
        <v>14</v>
      </c>
      <c r="D5136" s="4" t="s">
        <v>15</v>
      </c>
      <c r="E5136" s="5" t="str">
        <f>"9280056"</f>
        <v>9280056</v>
      </c>
      <c r="F5136" s="3" t="s">
        <v>16413</v>
      </c>
      <c r="G5136" s="5">
        <v>2741036234</v>
      </c>
      <c r="H5136" s="4" t="s">
        <v>16414</v>
      </c>
      <c r="I5136" s="4" t="s">
        <v>16284</v>
      </c>
      <c r="J5136" s="4"/>
      <c r="K5136" s="4" t="s">
        <v>16415</v>
      </c>
      <c r="L5136" s="5">
        <v>20150</v>
      </c>
    </row>
    <row r="5137" spans="1:12" x14ac:dyDescent="0.25">
      <c r="A5137" s="3" t="s">
        <v>15973</v>
      </c>
      <c r="B5137" s="4" t="s">
        <v>16281</v>
      </c>
      <c r="C5137" s="4" t="s">
        <v>14</v>
      </c>
      <c r="D5137" s="4" t="s">
        <v>15</v>
      </c>
      <c r="E5137" s="5" t="str">
        <f>"9280001"</f>
        <v>9280001</v>
      </c>
      <c r="F5137" s="3" t="s">
        <v>16416</v>
      </c>
      <c r="G5137" s="5">
        <v>2741022321</v>
      </c>
      <c r="H5137" s="4" t="s">
        <v>16417</v>
      </c>
      <c r="I5137" s="4" t="s">
        <v>16284</v>
      </c>
      <c r="J5137" s="4" t="s">
        <v>16418</v>
      </c>
      <c r="K5137" s="4" t="s">
        <v>16419</v>
      </c>
      <c r="L5137" s="5">
        <v>20131</v>
      </c>
    </row>
    <row r="5138" spans="1:12" x14ac:dyDescent="0.25">
      <c r="A5138" s="3" t="s">
        <v>15973</v>
      </c>
      <c r="B5138" s="4" t="s">
        <v>16281</v>
      </c>
      <c r="C5138" s="4" t="s">
        <v>14</v>
      </c>
      <c r="D5138" s="4" t="s">
        <v>15</v>
      </c>
      <c r="E5138" s="5" t="str">
        <f>"9280038"</f>
        <v>9280038</v>
      </c>
      <c r="F5138" s="3" t="s">
        <v>16420</v>
      </c>
      <c r="G5138" s="5">
        <v>2741054326</v>
      </c>
      <c r="H5138" s="4" t="s">
        <v>16421</v>
      </c>
      <c r="I5138" s="4" t="s">
        <v>16347</v>
      </c>
      <c r="J5138" s="4" t="s">
        <v>16372</v>
      </c>
      <c r="K5138" s="4" t="s">
        <v>16422</v>
      </c>
      <c r="L5138" s="5">
        <v>20001</v>
      </c>
    </row>
    <row r="5139" spans="1:12" x14ac:dyDescent="0.25">
      <c r="A5139" s="3" t="s">
        <v>15973</v>
      </c>
      <c r="B5139" s="4" t="s">
        <v>16281</v>
      </c>
      <c r="C5139" s="4" t="s">
        <v>14</v>
      </c>
      <c r="D5139" s="4" t="s">
        <v>15</v>
      </c>
      <c r="E5139" s="5" t="str">
        <f>"9280031"</f>
        <v>9280031</v>
      </c>
      <c r="F5139" s="3" t="s">
        <v>16423</v>
      </c>
      <c r="G5139" s="5">
        <v>2741055670</v>
      </c>
      <c r="H5139" s="4" t="s">
        <v>16424</v>
      </c>
      <c r="I5139" s="4" t="s">
        <v>16347</v>
      </c>
      <c r="J5139" s="4" t="s">
        <v>16348</v>
      </c>
      <c r="K5139" s="4" t="s">
        <v>16348</v>
      </c>
      <c r="L5139" s="5">
        <v>20006</v>
      </c>
    </row>
    <row r="5140" spans="1:12" x14ac:dyDescent="0.25">
      <c r="A5140" s="3" t="s">
        <v>15973</v>
      </c>
      <c r="B5140" s="4" t="s">
        <v>16281</v>
      </c>
      <c r="C5140" s="4" t="s">
        <v>14</v>
      </c>
      <c r="D5140" s="4" t="s">
        <v>15</v>
      </c>
      <c r="E5140" s="5" t="str">
        <f>"9280003"</f>
        <v>9280003</v>
      </c>
      <c r="F5140" s="3" t="s">
        <v>16425</v>
      </c>
      <c r="G5140" s="5">
        <v>2741022511</v>
      </c>
      <c r="H5140" s="4" t="s">
        <v>16426</v>
      </c>
      <c r="I5140" s="4" t="s">
        <v>16284</v>
      </c>
      <c r="J5140" s="4" t="s">
        <v>16321</v>
      </c>
      <c r="K5140" s="4" t="s">
        <v>16427</v>
      </c>
      <c r="L5140" s="5">
        <v>20131</v>
      </c>
    </row>
    <row r="5141" spans="1:12" x14ac:dyDescent="0.25">
      <c r="A5141" s="3" t="s">
        <v>15973</v>
      </c>
      <c r="B5141" s="4" t="s">
        <v>16281</v>
      </c>
      <c r="C5141" s="4" t="s">
        <v>14</v>
      </c>
      <c r="D5141" s="4" t="s">
        <v>15</v>
      </c>
      <c r="E5141" s="5" t="str">
        <f>"9280034"</f>
        <v>9280034</v>
      </c>
      <c r="F5141" s="3" t="s">
        <v>16428</v>
      </c>
      <c r="G5141" s="5">
        <v>2741033603</v>
      </c>
      <c r="H5141" s="4" t="s">
        <v>16429</v>
      </c>
      <c r="I5141" s="4" t="s">
        <v>16284</v>
      </c>
      <c r="J5141" s="4" t="s">
        <v>16344</v>
      </c>
      <c r="K5141" s="4" t="s">
        <v>16430</v>
      </c>
      <c r="L5141" s="5">
        <v>20100</v>
      </c>
    </row>
    <row r="5142" spans="1:12" x14ac:dyDescent="0.25">
      <c r="A5142" s="3" t="s">
        <v>15973</v>
      </c>
      <c r="B5142" s="4" t="s">
        <v>16281</v>
      </c>
      <c r="C5142" s="4" t="s">
        <v>14</v>
      </c>
      <c r="D5142" s="4" t="s">
        <v>15</v>
      </c>
      <c r="E5142" s="5" t="str">
        <f>"9280021"</f>
        <v>9280021</v>
      </c>
      <c r="F5142" s="3" t="s">
        <v>16431</v>
      </c>
      <c r="G5142" s="5">
        <v>2741067459</v>
      </c>
      <c r="H5142" s="4" t="s">
        <v>16432</v>
      </c>
      <c r="I5142" s="4" t="s">
        <v>16329</v>
      </c>
      <c r="J5142" s="4" t="s">
        <v>16433</v>
      </c>
      <c r="K5142" s="4" t="s">
        <v>16433</v>
      </c>
      <c r="L5142" s="5">
        <v>20003</v>
      </c>
    </row>
    <row r="5143" spans="1:12" x14ac:dyDescent="0.25">
      <c r="A5143" s="3" t="s">
        <v>15973</v>
      </c>
      <c r="B5143" s="4" t="s">
        <v>16281</v>
      </c>
      <c r="C5143" s="4" t="s">
        <v>14</v>
      </c>
      <c r="D5143" s="4" t="s">
        <v>15</v>
      </c>
      <c r="E5143" s="5" t="str">
        <f>"9280052"</f>
        <v>9280052</v>
      </c>
      <c r="F5143" s="3" t="s">
        <v>16434</v>
      </c>
      <c r="G5143" s="5">
        <v>2741086279</v>
      </c>
      <c r="H5143" s="4" t="s">
        <v>16435</v>
      </c>
      <c r="I5143" s="4" t="s">
        <v>16284</v>
      </c>
      <c r="J5143" s="4"/>
      <c r="K5143" s="4" t="s">
        <v>16436</v>
      </c>
      <c r="L5143" s="5">
        <v>20011</v>
      </c>
    </row>
    <row r="5144" spans="1:12" x14ac:dyDescent="0.25">
      <c r="A5144" s="3" t="s">
        <v>15973</v>
      </c>
      <c r="B5144" s="4" t="s">
        <v>16281</v>
      </c>
      <c r="C5144" s="4" t="s">
        <v>14</v>
      </c>
      <c r="D5144" s="4" t="s">
        <v>15</v>
      </c>
      <c r="E5144" s="5" t="str">
        <f>"9280184"</f>
        <v>9280184</v>
      </c>
      <c r="F5144" s="3" t="s">
        <v>16437</v>
      </c>
      <c r="G5144" s="5">
        <v>2741022028</v>
      </c>
      <c r="H5144" s="4" t="s">
        <v>16438</v>
      </c>
      <c r="I5144" s="4" t="s">
        <v>16284</v>
      </c>
      <c r="J5144" s="4" t="s">
        <v>16321</v>
      </c>
      <c r="K5144" s="4" t="s">
        <v>16439</v>
      </c>
      <c r="L5144" s="5">
        <v>20131</v>
      </c>
    </row>
    <row r="5145" spans="1:12" x14ac:dyDescent="0.25">
      <c r="A5145" s="3" t="s">
        <v>15973</v>
      </c>
      <c r="B5145" s="4" t="s">
        <v>16281</v>
      </c>
      <c r="C5145" s="4" t="s">
        <v>14</v>
      </c>
      <c r="D5145" s="4" t="s">
        <v>15</v>
      </c>
      <c r="E5145" s="5" t="str">
        <f>"9280006"</f>
        <v>9280006</v>
      </c>
      <c r="F5145" s="3" t="s">
        <v>16440</v>
      </c>
      <c r="G5145" s="5">
        <v>2741024686</v>
      </c>
      <c r="H5145" s="4" t="s">
        <v>16441</v>
      </c>
      <c r="I5145" s="4" t="s">
        <v>16284</v>
      </c>
      <c r="J5145" s="4" t="s">
        <v>16321</v>
      </c>
      <c r="K5145" s="4" t="s">
        <v>16442</v>
      </c>
      <c r="L5145" s="5">
        <v>20132</v>
      </c>
    </row>
    <row r="5146" spans="1:12" x14ac:dyDescent="0.25">
      <c r="A5146" s="3" t="s">
        <v>15973</v>
      </c>
      <c r="B5146" s="4" t="s">
        <v>16281</v>
      </c>
      <c r="C5146" s="4" t="s">
        <v>14</v>
      </c>
      <c r="D5146" s="4" t="s">
        <v>15</v>
      </c>
      <c r="E5146" s="5" t="str">
        <f>"9280025"</f>
        <v>9280025</v>
      </c>
      <c r="F5146" s="3" t="s">
        <v>16443</v>
      </c>
      <c r="G5146" s="5">
        <v>2741039238</v>
      </c>
      <c r="H5146" s="4" t="s">
        <v>16444</v>
      </c>
      <c r="I5146" s="4" t="s">
        <v>16284</v>
      </c>
      <c r="J5146" s="4" t="s">
        <v>16445</v>
      </c>
      <c r="K5146" s="4" t="s">
        <v>16446</v>
      </c>
      <c r="L5146" s="5">
        <v>20005</v>
      </c>
    </row>
    <row r="5147" spans="1:12" x14ac:dyDescent="0.25">
      <c r="A5147" s="3" t="s">
        <v>15973</v>
      </c>
      <c r="B5147" s="4" t="s">
        <v>16281</v>
      </c>
      <c r="C5147" s="4" t="s">
        <v>14</v>
      </c>
      <c r="D5147" s="4" t="s">
        <v>15</v>
      </c>
      <c r="E5147" s="5" t="str">
        <f>"9280054"</f>
        <v>9280054</v>
      </c>
      <c r="F5147" s="3" t="s">
        <v>16447</v>
      </c>
      <c r="G5147" s="5">
        <v>2746022437</v>
      </c>
      <c r="H5147" s="4" t="s">
        <v>16448</v>
      </c>
      <c r="I5147" s="4" t="s">
        <v>16360</v>
      </c>
      <c r="J5147" s="4" t="s">
        <v>16449</v>
      </c>
      <c r="K5147" s="4" t="s">
        <v>16450</v>
      </c>
      <c r="L5147" s="5">
        <v>20500</v>
      </c>
    </row>
    <row r="5148" spans="1:12" x14ac:dyDescent="0.25">
      <c r="A5148" s="3" t="s">
        <v>15973</v>
      </c>
      <c r="B5148" s="4" t="s">
        <v>16281</v>
      </c>
      <c r="C5148" s="4" t="s">
        <v>14</v>
      </c>
      <c r="D5148" s="4" t="s">
        <v>15</v>
      </c>
      <c r="E5148" s="5" t="str">
        <f>"9280055"</f>
        <v>9280055</v>
      </c>
      <c r="F5148" s="3" t="s">
        <v>16451</v>
      </c>
      <c r="G5148" s="5">
        <v>2746022652</v>
      </c>
      <c r="H5148" s="4" t="s">
        <v>16452</v>
      </c>
      <c r="I5148" s="4" t="s">
        <v>16360</v>
      </c>
      <c r="J5148" s="4" t="s">
        <v>16453</v>
      </c>
      <c r="K5148" s="4" t="s">
        <v>16454</v>
      </c>
      <c r="L5148" s="5">
        <v>20500</v>
      </c>
    </row>
    <row r="5149" spans="1:12" x14ac:dyDescent="0.25">
      <c r="A5149" s="3" t="s">
        <v>15973</v>
      </c>
      <c r="B5149" s="4" t="s">
        <v>16281</v>
      </c>
      <c r="C5149" s="4" t="s">
        <v>14</v>
      </c>
      <c r="D5149" s="4" t="s">
        <v>15</v>
      </c>
      <c r="E5149" s="5" t="str">
        <f>"9280164"</f>
        <v>9280164</v>
      </c>
      <c r="F5149" s="3" t="s">
        <v>16455</v>
      </c>
      <c r="G5149" s="5">
        <v>2744063490</v>
      </c>
      <c r="H5149" s="4" t="s">
        <v>16456</v>
      </c>
      <c r="I5149" s="4" t="s">
        <v>16329</v>
      </c>
      <c r="J5149" s="4" t="s">
        <v>16457</v>
      </c>
      <c r="K5149" s="4" t="s">
        <v>16458</v>
      </c>
      <c r="L5149" s="5">
        <v>20300</v>
      </c>
    </row>
    <row r="5150" spans="1:12" x14ac:dyDescent="0.25">
      <c r="A5150" s="3" t="s">
        <v>15973</v>
      </c>
      <c r="B5150" s="4" t="s">
        <v>16281</v>
      </c>
      <c r="C5150" s="4" t="s">
        <v>14</v>
      </c>
      <c r="D5150" s="4" t="s">
        <v>15</v>
      </c>
      <c r="E5150" s="5" t="str">
        <f>"9280007"</f>
        <v>9280007</v>
      </c>
      <c r="F5150" s="3" t="s">
        <v>16459</v>
      </c>
      <c r="G5150" s="5">
        <v>2741020305</v>
      </c>
      <c r="H5150" s="4" t="s">
        <v>16460</v>
      </c>
      <c r="I5150" s="4" t="s">
        <v>16284</v>
      </c>
      <c r="J5150" s="4" t="s">
        <v>16321</v>
      </c>
      <c r="K5150" s="4" t="s">
        <v>16461</v>
      </c>
      <c r="L5150" s="5">
        <v>20131</v>
      </c>
    </row>
    <row r="5151" spans="1:12" x14ac:dyDescent="0.25">
      <c r="A5151" s="3" t="s">
        <v>15973</v>
      </c>
      <c r="B5151" s="4" t="s">
        <v>16281</v>
      </c>
      <c r="C5151" s="4" t="s">
        <v>14</v>
      </c>
      <c r="D5151" s="4" t="s">
        <v>179</v>
      </c>
      <c r="E5151" s="5" t="str">
        <f>"9280014"</f>
        <v>9280014</v>
      </c>
      <c r="F5151" s="3" t="s">
        <v>16462</v>
      </c>
      <c r="G5151" s="5">
        <v>2744079288</v>
      </c>
      <c r="H5151" s="4" t="s">
        <v>16463</v>
      </c>
      <c r="I5151" s="4" t="s">
        <v>16329</v>
      </c>
      <c r="J5151" s="4" t="s">
        <v>16464</v>
      </c>
      <c r="K5151" s="4" t="s">
        <v>16465</v>
      </c>
      <c r="L5151" s="5">
        <v>20300</v>
      </c>
    </row>
    <row r="5152" spans="1:12" x14ac:dyDescent="0.25">
      <c r="A5152" s="3" t="s">
        <v>15973</v>
      </c>
      <c r="B5152" s="4" t="s">
        <v>16281</v>
      </c>
      <c r="C5152" s="4" t="s">
        <v>25</v>
      </c>
      <c r="D5152" s="4" t="s">
        <v>26</v>
      </c>
      <c r="E5152" s="5" t="str">
        <f>"9280236"</f>
        <v>9280236</v>
      </c>
      <c r="F5152" s="3" t="s">
        <v>16466</v>
      </c>
      <c r="G5152" s="5">
        <v>6988887052</v>
      </c>
      <c r="H5152" s="4" t="s">
        <v>16467</v>
      </c>
      <c r="I5152" s="4" t="s">
        <v>16409</v>
      </c>
      <c r="J5152" s="4" t="s">
        <v>16468</v>
      </c>
      <c r="K5152" s="4" t="s">
        <v>16469</v>
      </c>
      <c r="L5152" s="5">
        <v>20400</v>
      </c>
    </row>
    <row r="5153" spans="1:12" x14ac:dyDescent="0.25">
      <c r="A5153" s="3" t="s">
        <v>15973</v>
      </c>
      <c r="B5153" s="4" t="s">
        <v>16281</v>
      </c>
      <c r="C5153" s="4" t="s">
        <v>25</v>
      </c>
      <c r="D5153" s="4" t="s">
        <v>26</v>
      </c>
      <c r="E5153" s="5" t="str">
        <f>"9280210"</f>
        <v>9280210</v>
      </c>
      <c r="F5153" s="3" t="s">
        <v>16470</v>
      </c>
      <c r="G5153" s="5">
        <v>2742024636</v>
      </c>
      <c r="H5153" s="4" t="s">
        <v>16471</v>
      </c>
      <c r="I5153" s="4" t="s">
        <v>16472</v>
      </c>
      <c r="J5153" s="4" t="s">
        <v>16473</v>
      </c>
      <c r="K5153" s="4" t="s">
        <v>16474</v>
      </c>
      <c r="L5153" s="5">
        <v>20200</v>
      </c>
    </row>
    <row r="5154" spans="1:12" x14ac:dyDescent="0.25">
      <c r="A5154" s="3" t="s">
        <v>15973</v>
      </c>
      <c r="B5154" s="4" t="s">
        <v>16281</v>
      </c>
      <c r="C5154" s="4" t="s">
        <v>25</v>
      </c>
      <c r="D5154" s="4" t="s">
        <v>26</v>
      </c>
      <c r="E5154" s="5" t="str">
        <f>"9280199"</f>
        <v>9280199</v>
      </c>
      <c r="F5154" s="3" t="s">
        <v>16475</v>
      </c>
      <c r="G5154" s="5">
        <v>2743023757</v>
      </c>
      <c r="H5154" s="4" t="s">
        <v>16476</v>
      </c>
      <c r="I5154" s="4" t="s">
        <v>16409</v>
      </c>
      <c r="J5154" s="4" t="s">
        <v>16477</v>
      </c>
      <c r="K5154" s="4" t="s">
        <v>16478</v>
      </c>
      <c r="L5154" s="5">
        <v>20400</v>
      </c>
    </row>
    <row r="5155" spans="1:12" x14ac:dyDescent="0.25">
      <c r="A5155" s="3" t="s">
        <v>15973</v>
      </c>
      <c r="B5155" s="4" t="s">
        <v>16281</v>
      </c>
      <c r="C5155" s="4" t="s">
        <v>25</v>
      </c>
      <c r="D5155" s="4" t="s">
        <v>26</v>
      </c>
      <c r="E5155" s="5" t="str">
        <f>"9280171"</f>
        <v>9280171</v>
      </c>
      <c r="F5155" s="3" t="s">
        <v>16479</v>
      </c>
      <c r="G5155" s="5">
        <v>2742033630</v>
      </c>
      <c r="H5155" s="4" t="s">
        <v>16480</v>
      </c>
      <c r="I5155" s="4" t="s">
        <v>16347</v>
      </c>
      <c r="J5155" s="4" t="s">
        <v>16481</v>
      </c>
      <c r="K5155" s="4" t="s">
        <v>16482</v>
      </c>
      <c r="L5155" s="5">
        <v>20002</v>
      </c>
    </row>
    <row r="5156" spans="1:12" x14ac:dyDescent="0.25">
      <c r="A5156" s="3" t="s">
        <v>15973</v>
      </c>
      <c r="B5156" s="4" t="s">
        <v>16281</v>
      </c>
      <c r="C5156" s="4" t="s">
        <v>14</v>
      </c>
      <c r="D5156" s="4" t="s">
        <v>15</v>
      </c>
      <c r="E5156" s="5" t="str">
        <f>"9280201"</f>
        <v>9280201</v>
      </c>
      <c r="F5156" s="3" t="s">
        <v>16483</v>
      </c>
      <c r="G5156" s="5">
        <v>2741028419</v>
      </c>
      <c r="H5156" s="4" t="s">
        <v>16484</v>
      </c>
      <c r="I5156" s="4" t="s">
        <v>16284</v>
      </c>
      <c r="J5156" s="4" t="s">
        <v>16321</v>
      </c>
      <c r="K5156" s="4" t="s">
        <v>16485</v>
      </c>
      <c r="L5156" s="5">
        <v>20131</v>
      </c>
    </row>
    <row r="5157" spans="1:12" x14ac:dyDescent="0.25">
      <c r="A5157" s="3" t="s">
        <v>15973</v>
      </c>
      <c r="B5157" s="4" t="s">
        <v>16281</v>
      </c>
      <c r="C5157" s="4" t="s">
        <v>25</v>
      </c>
      <c r="D5157" s="4" t="s">
        <v>26</v>
      </c>
      <c r="E5157" s="5" t="str">
        <f>"9280133"</f>
        <v>9280133</v>
      </c>
      <c r="F5157" s="3" t="s">
        <v>16486</v>
      </c>
      <c r="G5157" s="5">
        <v>2743022774</v>
      </c>
      <c r="H5157" s="4" t="s">
        <v>16487</v>
      </c>
      <c r="I5157" s="4" t="s">
        <v>16409</v>
      </c>
      <c r="J5157" s="4" t="s">
        <v>16488</v>
      </c>
      <c r="K5157" s="4" t="s">
        <v>16489</v>
      </c>
      <c r="L5157" s="5">
        <v>20400</v>
      </c>
    </row>
    <row r="5158" spans="1:12" x14ac:dyDescent="0.25">
      <c r="A5158" s="3" t="s">
        <v>15973</v>
      </c>
      <c r="B5158" s="4" t="s">
        <v>16281</v>
      </c>
      <c r="C5158" s="4" t="s">
        <v>25</v>
      </c>
      <c r="D5158" s="4" t="s">
        <v>26</v>
      </c>
      <c r="E5158" s="5" t="str">
        <f>"9280066"</f>
        <v>9280066</v>
      </c>
      <c r="F5158" s="3" t="s">
        <v>16490</v>
      </c>
      <c r="G5158" s="5">
        <v>2741098480</v>
      </c>
      <c r="H5158" s="4" t="s">
        <v>16491</v>
      </c>
      <c r="I5158" s="4" t="s">
        <v>16284</v>
      </c>
      <c r="J5158" s="4" t="s">
        <v>16405</v>
      </c>
      <c r="K5158" s="4" t="s">
        <v>16492</v>
      </c>
      <c r="L5158" s="5">
        <v>20008</v>
      </c>
    </row>
    <row r="5159" spans="1:12" x14ac:dyDescent="0.25">
      <c r="A5159" s="3" t="s">
        <v>15973</v>
      </c>
      <c r="B5159" s="4" t="s">
        <v>16281</v>
      </c>
      <c r="C5159" s="4" t="s">
        <v>14</v>
      </c>
      <c r="D5159" s="4" t="s">
        <v>15</v>
      </c>
      <c r="E5159" s="5" t="str">
        <f>"9280186"</f>
        <v>9280186</v>
      </c>
      <c r="F5159" s="3" t="s">
        <v>16493</v>
      </c>
      <c r="G5159" s="5">
        <v>2742022200</v>
      </c>
      <c r="H5159" s="4" t="s">
        <v>16494</v>
      </c>
      <c r="I5159" s="4" t="s">
        <v>16472</v>
      </c>
      <c r="J5159" s="4" t="s">
        <v>16495</v>
      </c>
      <c r="K5159" s="4" t="s">
        <v>16496</v>
      </c>
      <c r="L5159" s="5">
        <v>20200</v>
      </c>
    </row>
    <row r="5160" spans="1:12" x14ac:dyDescent="0.25">
      <c r="A5160" s="3" t="s">
        <v>15973</v>
      </c>
      <c r="B5160" s="4" t="s">
        <v>16281</v>
      </c>
      <c r="C5160" s="4" t="s">
        <v>14</v>
      </c>
      <c r="D5160" s="4" t="s">
        <v>15</v>
      </c>
      <c r="E5160" s="5" t="str">
        <f>"9280080"</f>
        <v>9280080</v>
      </c>
      <c r="F5160" s="3" t="s">
        <v>16497</v>
      </c>
      <c r="G5160" s="5">
        <v>2742032271</v>
      </c>
      <c r="H5160" s="4" t="s">
        <v>16498</v>
      </c>
      <c r="I5160" s="4" t="s">
        <v>16347</v>
      </c>
      <c r="J5160" s="4" t="s">
        <v>16499</v>
      </c>
      <c r="K5160" s="4" t="s">
        <v>16500</v>
      </c>
      <c r="L5160" s="5">
        <v>20002</v>
      </c>
    </row>
    <row r="5161" spans="1:12" x14ac:dyDescent="0.25">
      <c r="A5161" s="3" t="s">
        <v>15973</v>
      </c>
      <c r="B5161" s="4" t="s">
        <v>16281</v>
      </c>
      <c r="C5161" s="4" t="s">
        <v>14</v>
      </c>
      <c r="D5161" s="4" t="s">
        <v>15</v>
      </c>
      <c r="E5161" s="5" t="str">
        <f>"9280098"</f>
        <v>9280098</v>
      </c>
      <c r="F5161" s="3" t="s">
        <v>16501</v>
      </c>
      <c r="G5161" s="5">
        <v>2743360440</v>
      </c>
      <c r="H5161" s="4" t="s">
        <v>16502</v>
      </c>
      <c r="I5161" s="4" t="s">
        <v>16409</v>
      </c>
      <c r="J5161" s="4" t="s">
        <v>15675</v>
      </c>
      <c r="K5161" s="4" t="s">
        <v>16503</v>
      </c>
      <c r="L5161" s="5">
        <v>20400</v>
      </c>
    </row>
    <row r="5162" spans="1:12" x14ac:dyDescent="0.25">
      <c r="A5162" s="3" t="s">
        <v>15973</v>
      </c>
      <c r="B5162" s="4" t="s">
        <v>16281</v>
      </c>
      <c r="C5162" s="4" t="s">
        <v>14</v>
      </c>
      <c r="D5162" s="4" t="s">
        <v>15</v>
      </c>
      <c r="E5162" s="5" t="str">
        <f>"9280209"</f>
        <v>9280209</v>
      </c>
      <c r="F5162" s="3" t="s">
        <v>16504</v>
      </c>
      <c r="G5162" s="5">
        <v>2742024221</v>
      </c>
      <c r="H5162" s="4" t="s">
        <v>16505</v>
      </c>
      <c r="I5162" s="4" t="s">
        <v>16472</v>
      </c>
      <c r="J5162" s="4" t="s">
        <v>16495</v>
      </c>
      <c r="K5162" s="4" t="s">
        <v>16506</v>
      </c>
      <c r="L5162" s="5">
        <v>20200</v>
      </c>
    </row>
    <row r="5163" spans="1:12" x14ac:dyDescent="0.25">
      <c r="A5163" s="3" t="s">
        <v>15973</v>
      </c>
      <c r="B5163" s="4" t="s">
        <v>16281</v>
      </c>
      <c r="C5163" s="4" t="s">
        <v>14</v>
      </c>
      <c r="D5163" s="4" t="s">
        <v>15</v>
      </c>
      <c r="E5163" s="5" t="str">
        <f>"9280071"</f>
        <v>9280071</v>
      </c>
      <c r="F5163" s="3" t="s">
        <v>16507</v>
      </c>
      <c r="G5163" s="5">
        <v>2742022258</v>
      </c>
      <c r="H5163" s="4" t="s">
        <v>16508</v>
      </c>
      <c r="I5163" s="4" t="s">
        <v>16472</v>
      </c>
      <c r="J5163" s="4" t="s">
        <v>16495</v>
      </c>
      <c r="K5163" s="4" t="s">
        <v>16474</v>
      </c>
      <c r="L5163" s="5">
        <v>20200</v>
      </c>
    </row>
    <row r="5164" spans="1:12" x14ac:dyDescent="0.25">
      <c r="A5164" s="3" t="s">
        <v>15973</v>
      </c>
      <c r="B5164" s="4" t="s">
        <v>16281</v>
      </c>
      <c r="C5164" s="4" t="s">
        <v>14</v>
      </c>
      <c r="D5164" s="4" t="s">
        <v>15</v>
      </c>
      <c r="E5164" s="5" t="str">
        <f>"9280073"</f>
        <v>9280073</v>
      </c>
      <c r="F5164" s="3" t="s">
        <v>16509</v>
      </c>
      <c r="G5164" s="5">
        <v>2742022588</v>
      </c>
      <c r="H5164" s="4" t="s">
        <v>16510</v>
      </c>
      <c r="I5164" s="4" t="s">
        <v>16472</v>
      </c>
      <c r="J5164" s="4" t="s">
        <v>16511</v>
      </c>
      <c r="K5164" s="4" t="s">
        <v>16512</v>
      </c>
      <c r="L5164" s="5">
        <v>20200</v>
      </c>
    </row>
    <row r="5165" spans="1:12" x14ac:dyDescent="0.25">
      <c r="A5165" s="3" t="s">
        <v>15973</v>
      </c>
      <c r="B5165" s="4" t="s">
        <v>16281</v>
      </c>
      <c r="C5165" s="4" t="s">
        <v>14</v>
      </c>
      <c r="D5165" s="4" t="s">
        <v>15</v>
      </c>
      <c r="E5165" s="5" t="str">
        <f>"9280211"</f>
        <v>9280211</v>
      </c>
      <c r="F5165" s="3" t="s">
        <v>16513</v>
      </c>
      <c r="G5165" s="5">
        <v>2743024292</v>
      </c>
      <c r="H5165" s="4" t="s">
        <v>16514</v>
      </c>
      <c r="I5165" s="4" t="s">
        <v>16409</v>
      </c>
      <c r="J5165" s="4" t="s">
        <v>16515</v>
      </c>
      <c r="K5165" s="4" t="s">
        <v>16516</v>
      </c>
      <c r="L5165" s="5">
        <v>20400</v>
      </c>
    </row>
    <row r="5166" spans="1:12" x14ac:dyDescent="0.25">
      <c r="A5166" s="3" t="s">
        <v>15973</v>
      </c>
      <c r="B5166" s="4" t="s">
        <v>16281</v>
      </c>
      <c r="C5166" s="4" t="s">
        <v>14</v>
      </c>
      <c r="D5166" s="4" t="s">
        <v>15</v>
      </c>
      <c r="E5166" s="5" t="str">
        <f>"9280138"</f>
        <v>9280138</v>
      </c>
      <c r="F5166" s="3" t="s">
        <v>16517</v>
      </c>
      <c r="G5166" s="5">
        <v>2742022904</v>
      </c>
      <c r="H5166" s="4" t="s">
        <v>16518</v>
      </c>
      <c r="I5166" s="4" t="s">
        <v>16472</v>
      </c>
      <c r="J5166" s="4"/>
      <c r="K5166" s="4" t="s">
        <v>16519</v>
      </c>
      <c r="L5166" s="5">
        <v>20200</v>
      </c>
    </row>
    <row r="5167" spans="1:12" x14ac:dyDescent="0.25">
      <c r="A5167" s="3" t="s">
        <v>15973</v>
      </c>
      <c r="B5167" s="4" t="s">
        <v>16281</v>
      </c>
      <c r="C5167" s="4" t="s">
        <v>14</v>
      </c>
      <c r="D5167" s="4" t="s">
        <v>15</v>
      </c>
      <c r="E5167" s="5" t="str">
        <f>"9280126"</f>
        <v>9280126</v>
      </c>
      <c r="F5167" s="3" t="s">
        <v>16520</v>
      </c>
      <c r="G5167" s="5">
        <v>2742024738</v>
      </c>
      <c r="H5167" s="4" t="s">
        <v>16521</v>
      </c>
      <c r="I5167" s="4" t="s">
        <v>16472</v>
      </c>
      <c r="J5167" s="4" t="s">
        <v>16522</v>
      </c>
      <c r="K5167" s="4" t="s">
        <v>16522</v>
      </c>
      <c r="L5167" s="5">
        <v>20200</v>
      </c>
    </row>
    <row r="5168" spans="1:12" x14ac:dyDescent="0.25">
      <c r="A5168" s="3" t="s">
        <v>15973</v>
      </c>
      <c r="B5168" s="4" t="s">
        <v>16281</v>
      </c>
      <c r="C5168" s="4" t="s">
        <v>14</v>
      </c>
      <c r="D5168" s="4" t="s">
        <v>15</v>
      </c>
      <c r="E5168" s="5" t="str">
        <f>"9280110"</f>
        <v>9280110</v>
      </c>
      <c r="F5168" s="3" t="s">
        <v>16523</v>
      </c>
      <c r="G5168" s="5">
        <v>2741055463</v>
      </c>
      <c r="H5168" s="4" t="s">
        <v>16524</v>
      </c>
      <c r="I5168" s="4" t="s">
        <v>16347</v>
      </c>
      <c r="J5168" s="4" t="s">
        <v>16525</v>
      </c>
      <c r="K5168" s="4" t="s">
        <v>16526</v>
      </c>
      <c r="L5168" s="5">
        <v>20006</v>
      </c>
    </row>
    <row r="5169" spans="1:12" x14ac:dyDescent="0.25">
      <c r="A5169" s="3" t="s">
        <v>15973</v>
      </c>
      <c r="B5169" s="4" t="s">
        <v>16281</v>
      </c>
      <c r="C5169" s="4" t="s">
        <v>14</v>
      </c>
      <c r="D5169" s="4" t="s">
        <v>15</v>
      </c>
      <c r="E5169" s="5" t="str">
        <f>"9280069"</f>
        <v>9280069</v>
      </c>
      <c r="F5169" s="3" t="s">
        <v>16527</v>
      </c>
      <c r="G5169" s="5">
        <v>2742360415</v>
      </c>
      <c r="H5169" s="4" t="s">
        <v>16528</v>
      </c>
      <c r="I5169" s="4" t="s">
        <v>16472</v>
      </c>
      <c r="J5169" s="4" t="s">
        <v>16511</v>
      </c>
      <c r="K5169" s="4" t="s">
        <v>16529</v>
      </c>
      <c r="L5169" s="5">
        <v>20200</v>
      </c>
    </row>
    <row r="5170" spans="1:12" x14ac:dyDescent="0.25">
      <c r="A5170" s="3" t="s">
        <v>15973</v>
      </c>
      <c r="B5170" s="4" t="s">
        <v>16281</v>
      </c>
      <c r="C5170" s="4" t="s">
        <v>14</v>
      </c>
      <c r="D5170" s="4" t="s">
        <v>15</v>
      </c>
      <c r="E5170" s="5" t="str">
        <f>"9280134"</f>
        <v>9280134</v>
      </c>
      <c r="F5170" s="3" t="s">
        <v>16530</v>
      </c>
      <c r="G5170" s="5">
        <v>2743022652</v>
      </c>
      <c r="H5170" s="4" t="s">
        <v>16531</v>
      </c>
      <c r="I5170" s="4" t="s">
        <v>16409</v>
      </c>
      <c r="J5170" s="4" t="s">
        <v>16488</v>
      </c>
      <c r="K5170" s="4" t="s">
        <v>16532</v>
      </c>
      <c r="L5170" s="5">
        <v>20400</v>
      </c>
    </row>
    <row r="5171" spans="1:12" x14ac:dyDescent="0.25">
      <c r="A5171" s="3" t="s">
        <v>15973</v>
      </c>
      <c r="B5171" s="4" t="s">
        <v>16281</v>
      </c>
      <c r="C5171" s="4" t="s">
        <v>14</v>
      </c>
      <c r="D5171" s="4" t="s">
        <v>15</v>
      </c>
      <c r="E5171" s="5" t="str">
        <f>"9280135"</f>
        <v>9280135</v>
      </c>
      <c r="F5171" s="3" t="s">
        <v>16533</v>
      </c>
      <c r="G5171" s="5">
        <v>2743022380</v>
      </c>
      <c r="H5171" s="4" t="s">
        <v>16534</v>
      </c>
      <c r="I5171" s="4" t="s">
        <v>16409</v>
      </c>
      <c r="J5171" s="4" t="s">
        <v>16488</v>
      </c>
      <c r="K5171" s="4" t="s">
        <v>16478</v>
      </c>
      <c r="L5171" s="5">
        <v>20400</v>
      </c>
    </row>
    <row r="5172" spans="1:12" x14ac:dyDescent="0.25">
      <c r="A5172" s="3" t="s">
        <v>15973</v>
      </c>
      <c r="B5172" s="4" t="s">
        <v>16281</v>
      </c>
      <c r="C5172" s="4" t="s">
        <v>14</v>
      </c>
      <c r="D5172" s="4" t="s">
        <v>15</v>
      </c>
      <c r="E5172" s="5" t="str">
        <f>"9280075"</f>
        <v>9280075</v>
      </c>
      <c r="F5172" s="3" t="s">
        <v>16535</v>
      </c>
      <c r="G5172" s="5">
        <v>2742028438</v>
      </c>
      <c r="H5172" s="4" t="s">
        <v>16536</v>
      </c>
      <c r="I5172" s="4" t="s">
        <v>16472</v>
      </c>
      <c r="J5172" s="4" t="s">
        <v>16495</v>
      </c>
      <c r="K5172" s="4" t="s">
        <v>16537</v>
      </c>
      <c r="L5172" s="5">
        <v>20200</v>
      </c>
    </row>
    <row r="5173" spans="1:12" x14ac:dyDescent="0.25">
      <c r="A5173" s="3" t="s">
        <v>15973</v>
      </c>
      <c r="B5173" s="4" t="s">
        <v>16281</v>
      </c>
      <c r="C5173" s="4" t="s">
        <v>14</v>
      </c>
      <c r="D5173" s="4" t="s">
        <v>15</v>
      </c>
      <c r="E5173" s="5" t="str">
        <f>"9280207"</f>
        <v>9280207</v>
      </c>
      <c r="F5173" s="3" t="s">
        <v>16538</v>
      </c>
      <c r="G5173" s="5">
        <v>2741020161</v>
      </c>
      <c r="H5173" s="4" t="s">
        <v>16539</v>
      </c>
      <c r="I5173" s="4" t="s">
        <v>16284</v>
      </c>
      <c r="J5173" s="4" t="s">
        <v>16540</v>
      </c>
      <c r="K5173" s="4" t="s">
        <v>16541</v>
      </c>
      <c r="L5173" s="5">
        <v>20132</v>
      </c>
    </row>
    <row r="5174" spans="1:12" x14ac:dyDescent="0.25">
      <c r="A5174" s="3" t="s">
        <v>15973</v>
      </c>
      <c r="B5174" s="4" t="s">
        <v>16281</v>
      </c>
      <c r="C5174" s="4" t="s">
        <v>25</v>
      </c>
      <c r="D5174" s="4" t="s">
        <v>26</v>
      </c>
      <c r="E5174" s="5" t="str">
        <f>"9280223"</f>
        <v>9280223</v>
      </c>
      <c r="F5174" s="3" t="s">
        <v>16542</v>
      </c>
      <c r="G5174" s="5">
        <v>2742025117</v>
      </c>
      <c r="H5174" s="4" t="s">
        <v>16543</v>
      </c>
      <c r="I5174" s="4" t="s">
        <v>16472</v>
      </c>
      <c r="J5174" s="4" t="s">
        <v>16544</v>
      </c>
      <c r="K5174" s="4" t="s">
        <v>16545</v>
      </c>
      <c r="L5174" s="5">
        <v>20200</v>
      </c>
    </row>
    <row r="5175" spans="1:12" x14ac:dyDescent="0.25">
      <c r="A5175" s="3" t="s">
        <v>15973</v>
      </c>
      <c r="B5175" s="4" t="s">
        <v>16281</v>
      </c>
      <c r="C5175" s="4" t="s">
        <v>14</v>
      </c>
      <c r="D5175" s="4" t="s">
        <v>15</v>
      </c>
      <c r="E5175" s="5" t="str">
        <f>"9521087"</f>
        <v>9521087</v>
      </c>
      <c r="F5175" s="3" t="s">
        <v>16546</v>
      </c>
      <c r="G5175" s="5">
        <v>2744064926</v>
      </c>
      <c r="H5175" s="4" t="s">
        <v>16547</v>
      </c>
      <c r="I5175" s="4" t="s">
        <v>16329</v>
      </c>
      <c r="J5175" s="4" t="s">
        <v>13010</v>
      </c>
      <c r="K5175" s="4" t="s">
        <v>16548</v>
      </c>
      <c r="L5175" s="5">
        <v>20300</v>
      </c>
    </row>
    <row r="5176" spans="1:12" x14ac:dyDescent="0.25">
      <c r="A5176" s="3" t="s">
        <v>15973</v>
      </c>
      <c r="B5176" s="4" t="s">
        <v>16281</v>
      </c>
      <c r="C5176" s="4" t="s">
        <v>14</v>
      </c>
      <c r="D5176" s="4" t="s">
        <v>15</v>
      </c>
      <c r="E5176" s="5" t="str">
        <f>"9521272"</f>
        <v>9521272</v>
      </c>
      <c r="F5176" s="3" t="s">
        <v>16549</v>
      </c>
      <c r="G5176" s="5">
        <v>2741068108</v>
      </c>
      <c r="H5176" s="4" t="s">
        <v>16550</v>
      </c>
      <c r="I5176" s="4" t="s">
        <v>16329</v>
      </c>
      <c r="J5176" s="4" t="s">
        <v>16433</v>
      </c>
      <c r="K5176" s="4" t="s">
        <v>16551</v>
      </c>
      <c r="L5176" s="5">
        <v>20003</v>
      </c>
    </row>
    <row r="5177" spans="1:12" x14ac:dyDescent="0.25">
      <c r="A5177" s="3" t="s">
        <v>15973</v>
      </c>
      <c r="B5177" s="4" t="s">
        <v>16281</v>
      </c>
      <c r="C5177" s="4" t="s">
        <v>25</v>
      </c>
      <c r="D5177" s="4" t="s">
        <v>26</v>
      </c>
      <c r="E5177" s="5" t="str">
        <f>"9521088"</f>
        <v>9521088</v>
      </c>
      <c r="F5177" s="3" t="s">
        <v>16552</v>
      </c>
      <c r="G5177" s="5">
        <v>2744067090</v>
      </c>
      <c r="H5177" s="4" t="s">
        <v>16553</v>
      </c>
      <c r="I5177" s="4" t="s">
        <v>16329</v>
      </c>
      <c r="J5177" s="4" t="s">
        <v>13010</v>
      </c>
      <c r="K5177" s="4" t="s">
        <v>16554</v>
      </c>
      <c r="L5177" s="5">
        <v>20300</v>
      </c>
    </row>
    <row r="5178" spans="1:12" x14ac:dyDescent="0.25">
      <c r="A5178" s="3" t="s">
        <v>15973</v>
      </c>
      <c r="B5178" s="4" t="s">
        <v>16281</v>
      </c>
      <c r="C5178" s="4" t="s">
        <v>14</v>
      </c>
      <c r="D5178" s="4" t="s">
        <v>15</v>
      </c>
      <c r="E5178" s="5" t="str">
        <f>"9521610"</f>
        <v>9521610</v>
      </c>
      <c r="F5178" s="3" t="s">
        <v>16555</v>
      </c>
      <c r="G5178" s="5">
        <v>2741081375</v>
      </c>
      <c r="H5178" s="4" t="s">
        <v>16556</v>
      </c>
      <c r="I5178" s="4" t="s">
        <v>16284</v>
      </c>
      <c r="J5178" s="4" t="s">
        <v>16557</v>
      </c>
      <c r="K5178" s="4" t="s">
        <v>16558</v>
      </c>
      <c r="L5178" s="5">
        <v>20131</v>
      </c>
    </row>
    <row r="5179" spans="1:12" x14ac:dyDescent="0.25">
      <c r="A5179" s="3" t="s">
        <v>15973</v>
      </c>
      <c r="B5179" s="4" t="s">
        <v>16281</v>
      </c>
      <c r="C5179" s="4" t="s">
        <v>14</v>
      </c>
      <c r="D5179" s="4" t="s">
        <v>15</v>
      </c>
      <c r="E5179" s="5" t="str">
        <f>"9280095"</f>
        <v>9280095</v>
      </c>
      <c r="F5179" s="3" t="s">
        <v>16559</v>
      </c>
      <c r="G5179" s="5">
        <v>2747022334</v>
      </c>
      <c r="H5179" s="4" t="s">
        <v>16560</v>
      </c>
      <c r="I5179" s="4" t="s">
        <v>16472</v>
      </c>
      <c r="J5179" s="4" t="s">
        <v>16561</v>
      </c>
      <c r="K5179" s="4" t="s">
        <v>16562</v>
      </c>
      <c r="L5179" s="5">
        <v>20016</v>
      </c>
    </row>
    <row r="5180" spans="1:12" x14ac:dyDescent="0.25">
      <c r="A5180" s="3" t="s">
        <v>15973</v>
      </c>
      <c r="B5180" s="4" t="s">
        <v>16563</v>
      </c>
      <c r="C5180" s="4" t="s">
        <v>14</v>
      </c>
      <c r="D5180" s="4" t="s">
        <v>15</v>
      </c>
      <c r="E5180" s="5" t="str">
        <f>"9300060"</f>
        <v>9300060</v>
      </c>
      <c r="F5180" s="3" t="s">
        <v>16564</v>
      </c>
      <c r="G5180" s="5">
        <v>2731022202</v>
      </c>
      <c r="H5180" s="4" t="s">
        <v>16565</v>
      </c>
      <c r="I5180" s="4" t="s">
        <v>16566</v>
      </c>
      <c r="J5180" s="4" t="s">
        <v>5313</v>
      </c>
      <c r="K5180" s="4" t="s">
        <v>16567</v>
      </c>
      <c r="L5180" s="5">
        <v>23100</v>
      </c>
    </row>
    <row r="5181" spans="1:12" x14ac:dyDescent="0.25">
      <c r="A5181" s="3" t="s">
        <v>15973</v>
      </c>
      <c r="B5181" s="4" t="s">
        <v>16563</v>
      </c>
      <c r="C5181" s="4" t="s">
        <v>14</v>
      </c>
      <c r="D5181" s="4" t="s">
        <v>15</v>
      </c>
      <c r="E5181" s="5" t="str">
        <f>"9300189"</f>
        <v>9300189</v>
      </c>
      <c r="F5181" s="3" t="s">
        <v>16568</v>
      </c>
      <c r="G5181" s="5">
        <v>2732031376</v>
      </c>
      <c r="H5181" s="4" t="s">
        <v>16569</v>
      </c>
      <c r="I5181" s="4" t="s">
        <v>16570</v>
      </c>
      <c r="J5181" s="4" t="s">
        <v>16571</v>
      </c>
      <c r="K5181" s="4" t="s">
        <v>16572</v>
      </c>
      <c r="L5181" s="5">
        <v>23060</v>
      </c>
    </row>
    <row r="5182" spans="1:12" x14ac:dyDescent="0.25">
      <c r="A5182" s="3" t="s">
        <v>15973</v>
      </c>
      <c r="B5182" s="4" t="s">
        <v>16563</v>
      </c>
      <c r="C5182" s="4" t="s">
        <v>25</v>
      </c>
      <c r="D5182" s="4" t="s">
        <v>26</v>
      </c>
      <c r="E5182" s="5" t="str">
        <f>"9300244"</f>
        <v>9300244</v>
      </c>
      <c r="F5182" s="3" t="s">
        <v>16573</v>
      </c>
      <c r="G5182" s="5">
        <v>2731029549</v>
      </c>
      <c r="H5182" s="4" t="s">
        <v>16574</v>
      </c>
      <c r="I5182" s="4" t="s">
        <v>16566</v>
      </c>
      <c r="J5182" s="4" t="s">
        <v>16566</v>
      </c>
      <c r="K5182" s="4" t="s">
        <v>16575</v>
      </c>
      <c r="L5182" s="5">
        <v>23100</v>
      </c>
    </row>
    <row r="5183" spans="1:12" x14ac:dyDescent="0.25">
      <c r="A5183" s="3" t="s">
        <v>15973</v>
      </c>
      <c r="B5183" s="4" t="s">
        <v>16563</v>
      </c>
      <c r="C5183" s="4" t="s">
        <v>14</v>
      </c>
      <c r="D5183" s="4" t="s">
        <v>15</v>
      </c>
      <c r="E5183" s="5" t="str">
        <f>"9300083"</f>
        <v>9300083</v>
      </c>
      <c r="F5183" s="3" t="s">
        <v>16576</v>
      </c>
      <c r="G5183" s="5">
        <v>2733022073</v>
      </c>
      <c r="H5183" s="4" t="s">
        <v>16577</v>
      </c>
      <c r="I5183" s="4" t="s">
        <v>16578</v>
      </c>
      <c r="J5183" s="4" t="s">
        <v>16579</v>
      </c>
      <c r="K5183" s="4" t="s">
        <v>16580</v>
      </c>
      <c r="L5183" s="5">
        <v>23200</v>
      </c>
    </row>
    <row r="5184" spans="1:12" x14ac:dyDescent="0.25">
      <c r="A5184" s="3" t="s">
        <v>15973</v>
      </c>
      <c r="B5184" s="4" t="s">
        <v>16563</v>
      </c>
      <c r="C5184" s="4" t="s">
        <v>25</v>
      </c>
      <c r="D5184" s="4" t="s">
        <v>26</v>
      </c>
      <c r="E5184" s="5" t="str">
        <f>"9300273"</f>
        <v>9300273</v>
      </c>
      <c r="F5184" s="3" t="s">
        <v>16581</v>
      </c>
      <c r="G5184" s="5">
        <v>2733022750</v>
      </c>
      <c r="H5184" s="4" t="s">
        <v>16582</v>
      </c>
      <c r="I5184" s="4" t="s">
        <v>16578</v>
      </c>
      <c r="J5184" s="4" t="s">
        <v>16583</v>
      </c>
      <c r="K5184" s="4" t="s">
        <v>16584</v>
      </c>
      <c r="L5184" s="5">
        <v>23200</v>
      </c>
    </row>
    <row r="5185" spans="1:12" x14ac:dyDescent="0.25">
      <c r="A5185" s="3" t="s">
        <v>15973</v>
      </c>
      <c r="B5185" s="4" t="s">
        <v>16563</v>
      </c>
      <c r="C5185" s="4" t="s">
        <v>25</v>
      </c>
      <c r="D5185" s="4" t="s">
        <v>26</v>
      </c>
      <c r="E5185" s="5" t="str">
        <f>"9300270"</f>
        <v>9300270</v>
      </c>
      <c r="F5185" s="3" t="s">
        <v>16585</v>
      </c>
      <c r="G5185" s="5">
        <v>2735023988</v>
      </c>
      <c r="H5185" s="4" t="s">
        <v>16586</v>
      </c>
      <c r="I5185" s="4" t="s">
        <v>16570</v>
      </c>
      <c r="J5185" s="4" t="s">
        <v>16587</v>
      </c>
      <c r="K5185" s="4" t="s">
        <v>16588</v>
      </c>
      <c r="L5185" s="5">
        <v>23051</v>
      </c>
    </row>
    <row r="5186" spans="1:12" x14ac:dyDescent="0.25">
      <c r="A5186" s="3" t="s">
        <v>15973</v>
      </c>
      <c r="B5186" s="4" t="s">
        <v>16563</v>
      </c>
      <c r="C5186" s="4" t="s">
        <v>14</v>
      </c>
      <c r="D5186" s="4" t="s">
        <v>15</v>
      </c>
      <c r="E5186" s="5" t="str">
        <f>"9300130"</f>
        <v>9300130</v>
      </c>
      <c r="F5186" s="3" t="s">
        <v>16589</v>
      </c>
      <c r="G5186" s="5">
        <v>2735024172</v>
      </c>
      <c r="H5186" s="4" t="s">
        <v>16590</v>
      </c>
      <c r="I5186" s="4" t="s">
        <v>16570</v>
      </c>
      <c r="J5186" s="4" t="s">
        <v>10678</v>
      </c>
      <c r="K5186" s="4" t="s">
        <v>16588</v>
      </c>
      <c r="L5186" s="5">
        <v>23051</v>
      </c>
    </row>
    <row r="5187" spans="1:12" ht="30" x14ac:dyDescent="0.25">
      <c r="A5187" s="3" t="s">
        <v>15973</v>
      </c>
      <c r="B5187" s="4" t="s">
        <v>16563</v>
      </c>
      <c r="C5187" s="4" t="s">
        <v>14</v>
      </c>
      <c r="D5187" s="4" t="s">
        <v>15</v>
      </c>
      <c r="E5187" s="5" t="str">
        <f>"9300005"</f>
        <v>9300005</v>
      </c>
      <c r="F5187" s="3" t="s">
        <v>16591</v>
      </c>
      <c r="G5187" s="5">
        <v>2731028044</v>
      </c>
      <c r="H5187" s="4" t="s">
        <v>16592</v>
      </c>
      <c r="I5187" s="4" t="s">
        <v>16566</v>
      </c>
      <c r="J5187" s="4" t="s">
        <v>16593</v>
      </c>
      <c r="K5187" s="4" t="s">
        <v>16594</v>
      </c>
      <c r="L5187" s="5">
        <v>23100</v>
      </c>
    </row>
    <row r="5188" spans="1:12" x14ac:dyDescent="0.25">
      <c r="A5188" s="3" t="s">
        <v>15973</v>
      </c>
      <c r="B5188" s="4" t="s">
        <v>16563</v>
      </c>
      <c r="C5188" s="4" t="s">
        <v>25</v>
      </c>
      <c r="D5188" s="4" t="s">
        <v>26</v>
      </c>
      <c r="E5188" s="5" t="str">
        <f>"9300129"</f>
        <v>9300129</v>
      </c>
      <c r="F5188" s="3" t="s">
        <v>16595</v>
      </c>
      <c r="G5188" s="5">
        <v>2735022800</v>
      </c>
      <c r="H5188" s="4" t="s">
        <v>16596</v>
      </c>
      <c r="I5188" s="4" t="s">
        <v>16570</v>
      </c>
      <c r="J5188" s="4" t="s">
        <v>16587</v>
      </c>
      <c r="K5188" s="4" t="s">
        <v>16597</v>
      </c>
      <c r="L5188" s="5">
        <v>23051</v>
      </c>
    </row>
    <row r="5189" spans="1:12" x14ac:dyDescent="0.25">
      <c r="A5189" s="3" t="s">
        <v>15973</v>
      </c>
      <c r="B5189" s="4" t="s">
        <v>16563</v>
      </c>
      <c r="C5189" s="4" t="s">
        <v>25</v>
      </c>
      <c r="D5189" s="4" t="s">
        <v>26</v>
      </c>
      <c r="E5189" s="5" t="str">
        <f>"9300148"</f>
        <v>9300148</v>
      </c>
      <c r="F5189" s="3" t="s">
        <v>16598</v>
      </c>
      <c r="G5189" s="5">
        <v>2732023591</v>
      </c>
      <c r="H5189" s="4" t="s">
        <v>16599</v>
      </c>
      <c r="I5189" s="4" t="s">
        <v>16600</v>
      </c>
      <c r="J5189" s="4" t="s">
        <v>16601</v>
      </c>
      <c r="K5189" s="4" t="s">
        <v>16602</v>
      </c>
      <c r="L5189" s="5">
        <v>23052</v>
      </c>
    </row>
    <row r="5190" spans="1:12" x14ac:dyDescent="0.25">
      <c r="A5190" s="3" t="s">
        <v>15973</v>
      </c>
      <c r="B5190" s="4" t="s">
        <v>16563</v>
      </c>
      <c r="C5190" s="4" t="s">
        <v>14</v>
      </c>
      <c r="D5190" s="4" t="s">
        <v>179</v>
      </c>
      <c r="E5190" s="5" t="str">
        <f>"9300127"</f>
        <v>9300127</v>
      </c>
      <c r="F5190" s="3" t="s">
        <v>16603</v>
      </c>
      <c r="G5190" s="5">
        <v>2733092145</v>
      </c>
      <c r="H5190" s="4" t="s">
        <v>16604</v>
      </c>
      <c r="I5190" s="4" t="s">
        <v>16578</v>
      </c>
      <c r="J5190" s="4" t="s">
        <v>16605</v>
      </c>
      <c r="K5190" s="4" t="s">
        <v>16606</v>
      </c>
      <c r="L5190" s="5">
        <v>23200</v>
      </c>
    </row>
    <row r="5191" spans="1:12" x14ac:dyDescent="0.25">
      <c r="A5191" s="3" t="s">
        <v>15973</v>
      </c>
      <c r="B5191" s="4" t="s">
        <v>16563</v>
      </c>
      <c r="C5191" s="4" t="s">
        <v>14</v>
      </c>
      <c r="D5191" s="4" t="s">
        <v>15</v>
      </c>
      <c r="E5191" s="5" t="str">
        <f>"9520754"</f>
        <v>9520754</v>
      </c>
      <c r="F5191" s="3" t="s">
        <v>16607</v>
      </c>
      <c r="G5191" s="5">
        <v>2735029072</v>
      </c>
      <c r="H5191" s="4" t="s">
        <v>16608</v>
      </c>
      <c r="I5191" s="4" t="s">
        <v>16570</v>
      </c>
      <c r="J5191" s="4" t="s">
        <v>10678</v>
      </c>
      <c r="K5191" s="4" t="s">
        <v>10678</v>
      </c>
      <c r="L5191" s="5">
        <v>23051</v>
      </c>
    </row>
    <row r="5192" spans="1:12" x14ac:dyDescent="0.25">
      <c r="A5192" s="3" t="s">
        <v>15973</v>
      </c>
      <c r="B5192" s="4" t="s">
        <v>16563</v>
      </c>
      <c r="C5192" s="4" t="s">
        <v>14</v>
      </c>
      <c r="D5192" s="4" t="s">
        <v>15</v>
      </c>
      <c r="E5192" s="5" t="str">
        <f>"9300061"</f>
        <v>9300061</v>
      </c>
      <c r="F5192" s="3" t="s">
        <v>16609</v>
      </c>
      <c r="G5192" s="5">
        <v>2731083485</v>
      </c>
      <c r="H5192" s="4" t="s">
        <v>16610</v>
      </c>
      <c r="I5192" s="4" t="s">
        <v>16566</v>
      </c>
      <c r="J5192" s="4"/>
      <c r="K5192" s="4" t="s">
        <v>16611</v>
      </c>
      <c r="L5192" s="5" t="s">
        <v>16612</v>
      </c>
    </row>
    <row r="5193" spans="1:12" x14ac:dyDescent="0.25">
      <c r="A5193" s="3" t="s">
        <v>15973</v>
      </c>
      <c r="B5193" s="4" t="s">
        <v>16563</v>
      </c>
      <c r="C5193" s="4" t="s">
        <v>25</v>
      </c>
      <c r="D5193" s="4" t="s">
        <v>26</v>
      </c>
      <c r="E5193" s="5" t="str">
        <f>"9300206"</f>
        <v>9300206</v>
      </c>
      <c r="F5193" s="3" t="s">
        <v>16613</v>
      </c>
      <c r="G5193" s="5">
        <v>2735041588</v>
      </c>
      <c r="H5193" s="4" t="s">
        <v>16614</v>
      </c>
      <c r="I5193" s="4" t="s">
        <v>16570</v>
      </c>
      <c r="J5193" s="4" t="s">
        <v>16615</v>
      </c>
      <c r="K5193" s="4" t="s">
        <v>16616</v>
      </c>
      <c r="L5193" s="5">
        <v>23055</v>
      </c>
    </row>
    <row r="5194" spans="1:12" x14ac:dyDescent="0.25">
      <c r="A5194" s="3" t="s">
        <v>15973</v>
      </c>
      <c r="B5194" s="4" t="s">
        <v>16563</v>
      </c>
      <c r="C5194" s="4" t="s">
        <v>25</v>
      </c>
      <c r="D5194" s="4" t="s">
        <v>26</v>
      </c>
      <c r="E5194" s="5" t="str">
        <f>"9300259"</f>
        <v>9300259</v>
      </c>
      <c r="F5194" s="3" t="s">
        <v>16617</v>
      </c>
      <c r="G5194" s="5">
        <v>2733029508</v>
      </c>
      <c r="H5194" s="4" t="s">
        <v>16618</v>
      </c>
      <c r="I5194" s="4" t="s">
        <v>16578</v>
      </c>
      <c r="J5194" s="4" t="s">
        <v>16619</v>
      </c>
      <c r="K5194" s="4" t="s">
        <v>16620</v>
      </c>
      <c r="L5194" s="5">
        <v>23062</v>
      </c>
    </row>
    <row r="5195" spans="1:12" x14ac:dyDescent="0.25">
      <c r="A5195" s="3" t="s">
        <v>15973</v>
      </c>
      <c r="B5195" s="4" t="s">
        <v>16563</v>
      </c>
      <c r="C5195" s="4" t="s">
        <v>14</v>
      </c>
      <c r="D5195" s="4" t="s">
        <v>15</v>
      </c>
      <c r="E5195" s="5" t="str">
        <f>"9300248"</f>
        <v>9300248</v>
      </c>
      <c r="F5195" s="3" t="s">
        <v>16621</v>
      </c>
      <c r="G5195" s="5">
        <v>2731027166</v>
      </c>
      <c r="H5195" s="4" t="s">
        <v>16622</v>
      </c>
      <c r="I5195" s="4" t="s">
        <v>16566</v>
      </c>
      <c r="J5195" s="4" t="s">
        <v>16593</v>
      </c>
      <c r="K5195" s="4" t="s">
        <v>16623</v>
      </c>
      <c r="L5195" s="5">
        <v>23100</v>
      </c>
    </row>
    <row r="5196" spans="1:12" x14ac:dyDescent="0.25">
      <c r="A5196" s="3" t="s">
        <v>15973</v>
      </c>
      <c r="B5196" s="4" t="s">
        <v>16563</v>
      </c>
      <c r="C5196" s="4" t="s">
        <v>14</v>
      </c>
      <c r="D5196" s="4" t="s">
        <v>15</v>
      </c>
      <c r="E5196" s="5" t="str">
        <f>"9300002"</f>
        <v>9300002</v>
      </c>
      <c r="F5196" s="3" t="s">
        <v>16624</v>
      </c>
      <c r="G5196" s="5">
        <v>2731022775</v>
      </c>
      <c r="H5196" s="4" t="s">
        <v>16625</v>
      </c>
      <c r="I5196" s="4" t="s">
        <v>16566</v>
      </c>
      <c r="J5196" s="4" t="s">
        <v>16593</v>
      </c>
      <c r="K5196" s="4" t="s">
        <v>16626</v>
      </c>
      <c r="L5196" s="5">
        <v>23100</v>
      </c>
    </row>
    <row r="5197" spans="1:12" x14ac:dyDescent="0.25">
      <c r="A5197" s="3" t="s">
        <v>15973</v>
      </c>
      <c r="B5197" s="4" t="s">
        <v>16563</v>
      </c>
      <c r="C5197" s="4" t="s">
        <v>14</v>
      </c>
      <c r="D5197" s="4" t="s">
        <v>15</v>
      </c>
      <c r="E5197" s="5" t="str">
        <f>"9300122"</f>
        <v>9300122</v>
      </c>
      <c r="F5197" s="3" t="s">
        <v>16627</v>
      </c>
      <c r="G5197" s="5">
        <v>2735071332</v>
      </c>
      <c r="H5197" s="4" t="s">
        <v>16628</v>
      </c>
      <c r="I5197" s="4" t="s">
        <v>16570</v>
      </c>
      <c r="J5197" s="4" t="s">
        <v>16629</v>
      </c>
      <c r="K5197" s="4" t="s">
        <v>16630</v>
      </c>
      <c r="L5197" s="5">
        <v>23057</v>
      </c>
    </row>
    <row r="5198" spans="1:12" x14ac:dyDescent="0.25">
      <c r="A5198" s="3" t="s">
        <v>15973</v>
      </c>
      <c r="B5198" s="4" t="s">
        <v>16563</v>
      </c>
      <c r="C5198" s="4" t="s">
        <v>14</v>
      </c>
      <c r="D5198" s="4" t="s">
        <v>15</v>
      </c>
      <c r="E5198" s="5" t="str">
        <f>"9300078"</f>
        <v>9300078</v>
      </c>
      <c r="F5198" s="3" t="s">
        <v>16631</v>
      </c>
      <c r="G5198" s="5">
        <v>2733022349</v>
      </c>
      <c r="H5198" s="4" t="s">
        <v>16632</v>
      </c>
      <c r="I5198" s="4" t="s">
        <v>16578</v>
      </c>
      <c r="J5198" s="4" t="s">
        <v>16579</v>
      </c>
      <c r="K5198" s="4" t="s">
        <v>16633</v>
      </c>
      <c r="L5198" s="5">
        <v>23200</v>
      </c>
    </row>
    <row r="5199" spans="1:12" x14ac:dyDescent="0.25">
      <c r="A5199" s="3" t="s">
        <v>15973</v>
      </c>
      <c r="B5199" s="4" t="s">
        <v>16563</v>
      </c>
      <c r="C5199" s="4" t="s">
        <v>25</v>
      </c>
      <c r="D5199" s="4" t="s">
        <v>26</v>
      </c>
      <c r="E5199" s="5" t="str">
        <f>"9300204"</f>
        <v>9300204</v>
      </c>
      <c r="F5199" s="3" t="s">
        <v>16634</v>
      </c>
      <c r="G5199" s="5">
        <v>2731071734</v>
      </c>
      <c r="H5199" s="4" t="s">
        <v>16635</v>
      </c>
      <c r="I5199" s="4" t="s">
        <v>16570</v>
      </c>
      <c r="J5199" s="4" t="s">
        <v>16636</v>
      </c>
      <c r="K5199" s="4" t="s">
        <v>16637</v>
      </c>
      <c r="L5199" s="5">
        <v>23058</v>
      </c>
    </row>
    <row r="5200" spans="1:12" x14ac:dyDescent="0.25">
      <c r="A5200" s="3" t="s">
        <v>15973</v>
      </c>
      <c r="B5200" s="4" t="s">
        <v>16563</v>
      </c>
      <c r="C5200" s="4" t="s">
        <v>14</v>
      </c>
      <c r="D5200" s="4" t="s">
        <v>15</v>
      </c>
      <c r="E5200" s="5" t="str">
        <f>"9300135"</f>
        <v>9300135</v>
      </c>
      <c r="F5200" s="3" t="s">
        <v>16638</v>
      </c>
      <c r="G5200" s="5">
        <v>2733051248</v>
      </c>
      <c r="H5200" s="4" t="s">
        <v>16639</v>
      </c>
      <c r="I5200" s="4" t="s">
        <v>16578</v>
      </c>
      <c r="J5200" s="4" t="s">
        <v>16640</v>
      </c>
      <c r="K5200" s="4" t="s">
        <v>16620</v>
      </c>
      <c r="L5200" s="5">
        <v>23062</v>
      </c>
    </row>
    <row r="5201" spans="1:12" x14ac:dyDescent="0.25">
      <c r="A5201" s="3" t="s">
        <v>15973</v>
      </c>
      <c r="B5201" s="4" t="s">
        <v>16563</v>
      </c>
      <c r="C5201" s="4" t="s">
        <v>14</v>
      </c>
      <c r="D5201" s="4" t="s">
        <v>15</v>
      </c>
      <c r="E5201" s="5" t="str">
        <f>"9300165"</f>
        <v>9300165</v>
      </c>
      <c r="F5201" s="3" t="s">
        <v>16641</v>
      </c>
      <c r="G5201" s="5">
        <v>2735041230</v>
      </c>
      <c r="H5201" s="4" t="s">
        <v>16642</v>
      </c>
      <c r="I5201" s="4" t="s">
        <v>16570</v>
      </c>
      <c r="J5201" s="4" t="s">
        <v>16643</v>
      </c>
      <c r="K5201" s="4" t="s">
        <v>16616</v>
      </c>
      <c r="L5201" s="5">
        <v>23055</v>
      </c>
    </row>
    <row r="5202" spans="1:12" x14ac:dyDescent="0.25">
      <c r="A5202" s="3" t="s">
        <v>15973</v>
      </c>
      <c r="B5202" s="4" t="s">
        <v>16563</v>
      </c>
      <c r="C5202" s="4" t="s">
        <v>14</v>
      </c>
      <c r="D5202" s="4" t="s">
        <v>15</v>
      </c>
      <c r="E5202" s="5" t="str">
        <f>"9300037"</f>
        <v>9300037</v>
      </c>
      <c r="F5202" s="3" t="s">
        <v>16644</v>
      </c>
      <c r="G5202" s="5">
        <v>2731074455</v>
      </c>
      <c r="H5202" s="4" t="s">
        <v>16645</v>
      </c>
      <c r="I5202" s="4" t="s">
        <v>16566</v>
      </c>
      <c r="J5202" s="4" t="s">
        <v>16646</v>
      </c>
      <c r="K5202" s="4" t="s">
        <v>16647</v>
      </c>
      <c r="L5202" s="5">
        <v>23100</v>
      </c>
    </row>
    <row r="5203" spans="1:12" x14ac:dyDescent="0.25">
      <c r="A5203" s="3" t="s">
        <v>15973</v>
      </c>
      <c r="B5203" s="4" t="s">
        <v>16563</v>
      </c>
      <c r="C5203" s="4" t="s">
        <v>14</v>
      </c>
      <c r="D5203" s="4" t="s">
        <v>15</v>
      </c>
      <c r="E5203" s="5" t="str">
        <f>"9300064"</f>
        <v>9300064</v>
      </c>
      <c r="F5203" s="3" t="s">
        <v>16648</v>
      </c>
      <c r="G5203" s="5">
        <v>2731035470</v>
      </c>
      <c r="H5203" s="4" t="s">
        <v>16649</v>
      </c>
      <c r="I5203" s="4" t="s">
        <v>16566</v>
      </c>
      <c r="J5203" s="4" t="s">
        <v>16650</v>
      </c>
      <c r="K5203" s="4" t="s">
        <v>16651</v>
      </c>
      <c r="L5203" s="5">
        <v>23150</v>
      </c>
    </row>
    <row r="5204" spans="1:12" x14ac:dyDescent="0.25">
      <c r="A5204" s="3" t="s">
        <v>15973</v>
      </c>
      <c r="B5204" s="4" t="s">
        <v>16563</v>
      </c>
      <c r="C5204" s="4" t="s">
        <v>14</v>
      </c>
      <c r="D5204" s="4" t="s">
        <v>15</v>
      </c>
      <c r="E5204" s="5" t="str">
        <f>"9300007"</f>
        <v>9300007</v>
      </c>
      <c r="F5204" s="3" t="s">
        <v>16652</v>
      </c>
      <c r="G5204" s="5">
        <v>2731028034</v>
      </c>
      <c r="H5204" s="4" t="s">
        <v>16653</v>
      </c>
      <c r="I5204" s="4" t="s">
        <v>16566</v>
      </c>
      <c r="J5204" s="4" t="s">
        <v>16593</v>
      </c>
      <c r="K5204" s="4" t="s">
        <v>16654</v>
      </c>
      <c r="L5204" s="5">
        <v>23100</v>
      </c>
    </row>
    <row r="5205" spans="1:12" x14ac:dyDescent="0.25">
      <c r="A5205" s="3" t="s">
        <v>15973</v>
      </c>
      <c r="B5205" s="4" t="s">
        <v>16563</v>
      </c>
      <c r="C5205" s="4" t="s">
        <v>14</v>
      </c>
      <c r="D5205" s="4" t="s">
        <v>15</v>
      </c>
      <c r="E5205" s="5" t="str">
        <f>"9300009"</f>
        <v>9300009</v>
      </c>
      <c r="F5205" s="3" t="s">
        <v>16655</v>
      </c>
      <c r="G5205" s="5">
        <v>2731028351</v>
      </c>
      <c r="H5205" s="4" t="s">
        <v>16656</v>
      </c>
      <c r="I5205" s="4" t="s">
        <v>16566</v>
      </c>
      <c r="J5205" s="4" t="s">
        <v>16593</v>
      </c>
      <c r="K5205" s="4" t="s">
        <v>16657</v>
      </c>
      <c r="L5205" s="5">
        <v>23100</v>
      </c>
    </row>
    <row r="5206" spans="1:12" x14ac:dyDescent="0.25">
      <c r="A5206" s="3" t="s">
        <v>15973</v>
      </c>
      <c r="B5206" s="4" t="s">
        <v>16563</v>
      </c>
      <c r="C5206" s="4" t="s">
        <v>14</v>
      </c>
      <c r="D5206" s="4" t="s">
        <v>15</v>
      </c>
      <c r="E5206" s="5" t="str">
        <f>"9300011"</f>
        <v>9300011</v>
      </c>
      <c r="F5206" s="3" t="s">
        <v>16658</v>
      </c>
      <c r="G5206" s="5">
        <v>2731028681</v>
      </c>
      <c r="H5206" s="4" t="s">
        <v>16659</v>
      </c>
      <c r="I5206" s="4" t="s">
        <v>16566</v>
      </c>
      <c r="J5206" s="4" t="s">
        <v>16593</v>
      </c>
      <c r="K5206" s="4" t="s">
        <v>16660</v>
      </c>
      <c r="L5206" s="5">
        <v>23100</v>
      </c>
    </row>
    <row r="5207" spans="1:12" x14ac:dyDescent="0.25">
      <c r="A5207" s="3" t="s">
        <v>15973</v>
      </c>
      <c r="B5207" s="4" t="s">
        <v>16563</v>
      </c>
      <c r="C5207" s="4" t="s">
        <v>25</v>
      </c>
      <c r="D5207" s="4" t="s">
        <v>26</v>
      </c>
      <c r="E5207" s="5" t="str">
        <f>"9300214"</f>
        <v>9300214</v>
      </c>
      <c r="F5207" s="3" t="s">
        <v>16661</v>
      </c>
      <c r="G5207" s="5">
        <v>2731035675</v>
      </c>
      <c r="H5207" s="4" t="s">
        <v>16662</v>
      </c>
      <c r="I5207" s="4" t="s">
        <v>16566</v>
      </c>
      <c r="J5207" s="4" t="s">
        <v>16650</v>
      </c>
      <c r="K5207" s="4" t="s">
        <v>16663</v>
      </c>
      <c r="L5207" s="5">
        <v>23150</v>
      </c>
    </row>
    <row r="5208" spans="1:12" x14ac:dyDescent="0.25">
      <c r="A5208" s="3" t="s">
        <v>15973</v>
      </c>
      <c r="B5208" s="4" t="s">
        <v>16563</v>
      </c>
      <c r="C5208" s="4" t="s">
        <v>14</v>
      </c>
      <c r="D5208" s="4" t="s">
        <v>15</v>
      </c>
      <c r="E5208" s="5" t="str">
        <f>"9300197"</f>
        <v>9300197</v>
      </c>
      <c r="F5208" s="3" t="s">
        <v>16664</v>
      </c>
      <c r="G5208" s="5">
        <v>2732180050</v>
      </c>
      <c r="H5208" s="4" t="s">
        <v>16665</v>
      </c>
      <c r="I5208" s="4" t="s">
        <v>16600</v>
      </c>
      <c r="J5208" s="4" t="s">
        <v>16666</v>
      </c>
      <c r="K5208" s="4" t="s">
        <v>16667</v>
      </c>
      <c r="L5208" s="5">
        <v>23052</v>
      </c>
    </row>
    <row r="5209" spans="1:12" x14ac:dyDescent="0.25">
      <c r="A5209" s="3" t="s">
        <v>15973</v>
      </c>
      <c r="B5209" s="4" t="s">
        <v>16563</v>
      </c>
      <c r="C5209" s="4" t="s">
        <v>14</v>
      </c>
      <c r="D5209" s="4" t="s">
        <v>15</v>
      </c>
      <c r="E5209" s="5" t="str">
        <f>"9300195"</f>
        <v>9300195</v>
      </c>
      <c r="F5209" s="3" t="s">
        <v>16668</v>
      </c>
      <c r="G5209" s="5">
        <v>2732082233</v>
      </c>
      <c r="H5209" s="4" t="s">
        <v>16669</v>
      </c>
      <c r="I5209" s="4" t="s">
        <v>16600</v>
      </c>
      <c r="J5209" s="4" t="s">
        <v>16670</v>
      </c>
      <c r="K5209" s="4" t="s">
        <v>16671</v>
      </c>
      <c r="L5209" s="5">
        <v>23056</v>
      </c>
    </row>
    <row r="5210" spans="1:12" x14ac:dyDescent="0.25">
      <c r="A5210" s="3" t="s">
        <v>15973</v>
      </c>
      <c r="B5210" s="4" t="s">
        <v>16563</v>
      </c>
      <c r="C5210" s="4" t="s">
        <v>14</v>
      </c>
      <c r="D5210" s="4" t="s">
        <v>15</v>
      </c>
      <c r="E5210" s="5" t="str">
        <f>"9300161"</f>
        <v>9300161</v>
      </c>
      <c r="F5210" s="3" t="s">
        <v>16672</v>
      </c>
      <c r="G5210" s="5">
        <v>2732082322</v>
      </c>
      <c r="H5210" s="4" t="s">
        <v>16673</v>
      </c>
      <c r="I5210" s="4" t="s">
        <v>16600</v>
      </c>
      <c r="J5210" s="4" t="s">
        <v>16674</v>
      </c>
      <c r="K5210" s="4" t="s">
        <v>16675</v>
      </c>
      <c r="L5210" s="5">
        <v>23052</v>
      </c>
    </row>
    <row r="5211" spans="1:12" x14ac:dyDescent="0.25">
      <c r="A5211" s="3" t="s">
        <v>15973</v>
      </c>
      <c r="B5211" s="4" t="s">
        <v>16563</v>
      </c>
      <c r="C5211" s="4" t="s">
        <v>14</v>
      </c>
      <c r="D5211" s="4" t="s">
        <v>15</v>
      </c>
      <c r="E5211" s="5" t="str">
        <f>"9300186"</f>
        <v>9300186</v>
      </c>
      <c r="F5211" s="3" t="s">
        <v>16676</v>
      </c>
      <c r="G5211" s="5">
        <v>2732061294</v>
      </c>
      <c r="H5211" s="4" t="s">
        <v>16677</v>
      </c>
      <c r="I5211" s="4" t="s">
        <v>16600</v>
      </c>
      <c r="J5211" s="4" t="s">
        <v>16678</v>
      </c>
      <c r="K5211" s="4" t="s">
        <v>16679</v>
      </c>
      <c r="L5211" s="5">
        <v>23070</v>
      </c>
    </row>
    <row r="5212" spans="1:12" x14ac:dyDescent="0.25">
      <c r="A5212" s="3" t="s">
        <v>15973</v>
      </c>
      <c r="B5212" s="4" t="s">
        <v>16563</v>
      </c>
      <c r="C5212" s="4" t="s">
        <v>25</v>
      </c>
      <c r="D5212" s="4" t="s">
        <v>26</v>
      </c>
      <c r="E5212" s="5" t="str">
        <f>"9300219"</f>
        <v>9300219</v>
      </c>
      <c r="F5212" s="3" t="s">
        <v>16680</v>
      </c>
      <c r="G5212" s="5">
        <v>2731029372</v>
      </c>
      <c r="H5212" s="4" t="s">
        <v>16681</v>
      </c>
      <c r="I5212" s="4" t="s">
        <v>16566</v>
      </c>
      <c r="J5212" s="4" t="s">
        <v>16566</v>
      </c>
      <c r="K5212" s="4" t="s">
        <v>16682</v>
      </c>
      <c r="L5212" s="5">
        <v>23100</v>
      </c>
    </row>
    <row r="5213" spans="1:12" x14ac:dyDescent="0.25">
      <c r="A5213" s="3" t="s">
        <v>15973</v>
      </c>
      <c r="B5213" s="4" t="s">
        <v>16563</v>
      </c>
      <c r="C5213" s="4" t="s">
        <v>14</v>
      </c>
      <c r="D5213" s="4" t="s">
        <v>15</v>
      </c>
      <c r="E5213" s="5" t="str">
        <f>"9300177"</f>
        <v>9300177</v>
      </c>
      <c r="F5213" s="3" t="s">
        <v>16683</v>
      </c>
      <c r="G5213" s="5">
        <v>2734047261</v>
      </c>
      <c r="H5213" s="4" t="s">
        <v>16684</v>
      </c>
      <c r="I5213" s="4" t="s">
        <v>16600</v>
      </c>
      <c r="J5213" s="4" t="s">
        <v>16685</v>
      </c>
      <c r="K5213" s="4" t="s">
        <v>16686</v>
      </c>
      <c r="L5213" s="5">
        <v>23053</v>
      </c>
    </row>
    <row r="5214" spans="1:12" x14ac:dyDescent="0.25">
      <c r="A5214" s="3" t="s">
        <v>15973</v>
      </c>
      <c r="B5214" s="4" t="s">
        <v>16563</v>
      </c>
      <c r="C5214" s="4" t="s">
        <v>14</v>
      </c>
      <c r="D5214" s="4" t="s">
        <v>15</v>
      </c>
      <c r="E5214" s="5" t="str">
        <f>"9300035"</f>
        <v>9300035</v>
      </c>
      <c r="F5214" s="3" t="s">
        <v>16687</v>
      </c>
      <c r="G5214" s="5">
        <v>2731071347</v>
      </c>
      <c r="H5214" s="4" t="s">
        <v>16688</v>
      </c>
      <c r="I5214" s="4" t="s">
        <v>16570</v>
      </c>
      <c r="J5214" s="4" t="s">
        <v>16689</v>
      </c>
      <c r="K5214" s="4" t="s">
        <v>16690</v>
      </c>
      <c r="L5214" s="5">
        <v>23055</v>
      </c>
    </row>
    <row r="5215" spans="1:12" x14ac:dyDescent="0.25">
      <c r="A5215" s="3" t="s">
        <v>15973</v>
      </c>
      <c r="B5215" s="4" t="s">
        <v>16563</v>
      </c>
      <c r="C5215" s="4" t="s">
        <v>14</v>
      </c>
      <c r="D5215" s="4" t="s">
        <v>15</v>
      </c>
      <c r="E5215" s="5" t="str">
        <f>"9300188"</f>
        <v>9300188</v>
      </c>
      <c r="F5215" s="3" t="s">
        <v>16691</v>
      </c>
      <c r="G5215" s="5">
        <v>2734022286</v>
      </c>
      <c r="H5215" s="4" t="s">
        <v>16692</v>
      </c>
      <c r="I5215" s="4" t="s">
        <v>16600</v>
      </c>
      <c r="J5215" s="4" t="s">
        <v>746</v>
      </c>
      <c r="K5215" s="4" t="s">
        <v>16693</v>
      </c>
      <c r="L5215" s="5">
        <v>23053</v>
      </c>
    </row>
    <row r="5216" spans="1:12" x14ac:dyDescent="0.25">
      <c r="A5216" s="3" t="s">
        <v>15973</v>
      </c>
      <c r="B5216" s="4" t="s">
        <v>16563</v>
      </c>
      <c r="C5216" s="4" t="s">
        <v>14</v>
      </c>
      <c r="D5216" s="4" t="s">
        <v>15</v>
      </c>
      <c r="E5216" s="5" t="str">
        <f>"9300076"</f>
        <v>9300076</v>
      </c>
      <c r="F5216" s="3" t="s">
        <v>16694</v>
      </c>
      <c r="G5216" s="5">
        <v>2733022534</v>
      </c>
      <c r="H5216" s="4" t="s">
        <v>16695</v>
      </c>
      <c r="I5216" s="4" t="s">
        <v>16578</v>
      </c>
      <c r="J5216" s="4" t="s">
        <v>16579</v>
      </c>
      <c r="K5216" s="4" t="s">
        <v>16696</v>
      </c>
      <c r="L5216" s="5">
        <v>23200</v>
      </c>
    </row>
    <row r="5217" spans="1:12" x14ac:dyDescent="0.25">
      <c r="A5217" s="3" t="s">
        <v>15973</v>
      </c>
      <c r="B5217" s="4" t="s">
        <v>16563</v>
      </c>
      <c r="C5217" s="4" t="s">
        <v>14</v>
      </c>
      <c r="D5217" s="4" t="s">
        <v>15</v>
      </c>
      <c r="E5217" s="5" t="str">
        <f>"9300149"</f>
        <v>9300149</v>
      </c>
      <c r="F5217" s="3" t="s">
        <v>16697</v>
      </c>
      <c r="G5217" s="5">
        <v>2732022267</v>
      </c>
      <c r="H5217" s="4" t="s">
        <v>16698</v>
      </c>
      <c r="I5217" s="4" t="s">
        <v>16600</v>
      </c>
      <c r="J5217" s="4" t="s">
        <v>16601</v>
      </c>
      <c r="K5217" s="4" t="s">
        <v>16602</v>
      </c>
      <c r="L5217" s="5">
        <v>23052</v>
      </c>
    </row>
    <row r="5218" spans="1:12" x14ac:dyDescent="0.25">
      <c r="A5218" s="3" t="s">
        <v>15973</v>
      </c>
      <c r="B5218" s="4" t="s">
        <v>16563</v>
      </c>
      <c r="C5218" s="4" t="s">
        <v>14</v>
      </c>
      <c r="D5218" s="4" t="s">
        <v>15</v>
      </c>
      <c r="E5218" s="5" t="str">
        <f>"9300166"</f>
        <v>9300166</v>
      </c>
      <c r="F5218" s="3" t="s">
        <v>16699</v>
      </c>
      <c r="G5218" s="5">
        <v>2735091264</v>
      </c>
      <c r="H5218" s="4" t="s">
        <v>16700</v>
      </c>
      <c r="I5218" s="4" t="s">
        <v>16570</v>
      </c>
      <c r="J5218" s="4" t="s">
        <v>16701</v>
      </c>
      <c r="K5218" s="4" t="s">
        <v>16702</v>
      </c>
      <c r="L5218" s="5">
        <v>23055</v>
      </c>
    </row>
    <row r="5219" spans="1:12" x14ac:dyDescent="0.25">
      <c r="A5219" s="3" t="s">
        <v>15973</v>
      </c>
      <c r="B5219" s="4" t="s">
        <v>16563</v>
      </c>
      <c r="C5219" s="4" t="s">
        <v>25</v>
      </c>
      <c r="D5219" s="4" t="s">
        <v>26</v>
      </c>
      <c r="E5219" s="5" t="str">
        <f>"9300209"</f>
        <v>9300209</v>
      </c>
      <c r="F5219" s="3" t="s">
        <v>16703</v>
      </c>
      <c r="G5219" s="5">
        <v>2734022597</v>
      </c>
      <c r="H5219" s="4" t="s">
        <v>16704</v>
      </c>
      <c r="I5219" s="4" t="s">
        <v>16600</v>
      </c>
      <c r="J5219" s="4" t="s">
        <v>16705</v>
      </c>
      <c r="K5219" s="4" t="s">
        <v>16706</v>
      </c>
      <c r="L5219" s="5">
        <v>23053</v>
      </c>
    </row>
    <row r="5220" spans="1:12" x14ac:dyDescent="0.25">
      <c r="A5220" s="3" t="s">
        <v>15973</v>
      </c>
      <c r="B5220" s="4" t="s">
        <v>16563</v>
      </c>
      <c r="C5220" s="4" t="s">
        <v>25</v>
      </c>
      <c r="D5220" s="4" t="s">
        <v>26</v>
      </c>
      <c r="E5220" s="5" t="str">
        <f>"9521461"</f>
        <v>9521461</v>
      </c>
      <c r="F5220" s="3" t="s">
        <v>16707</v>
      </c>
      <c r="G5220" s="5">
        <v>2731027412</v>
      </c>
      <c r="H5220" s="4" t="s">
        <v>16708</v>
      </c>
      <c r="I5220" s="4" t="s">
        <v>16566</v>
      </c>
      <c r="J5220" s="4" t="s">
        <v>16566</v>
      </c>
      <c r="K5220" s="4" t="s">
        <v>16709</v>
      </c>
      <c r="L5220" s="5">
        <v>23100</v>
      </c>
    </row>
    <row r="5221" spans="1:12" x14ac:dyDescent="0.25">
      <c r="A5221" s="3" t="s">
        <v>15973</v>
      </c>
      <c r="B5221" s="4" t="s">
        <v>16563</v>
      </c>
      <c r="C5221" s="4" t="s">
        <v>25</v>
      </c>
      <c r="D5221" s="4" t="s">
        <v>26</v>
      </c>
      <c r="E5221" s="5" t="str">
        <f>"9300684"</f>
        <v>9300684</v>
      </c>
      <c r="F5221" s="3" t="s">
        <v>16710</v>
      </c>
      <c r="G5221" s="5">
        <v>2734022198</v>
      </c>
      <c r="H5221" s="4" t="s">
        <v>16711</v>
      </c>
      <c r="I5221" s="4" t="s">
        <v>16600</v>
      </c>
      <c r="J5221" s="4" t="s">
        <v>11794</v>
      </c>
      <c r="K5221" s="4" t="s">
        <v>16712</v>
      </c>
      <c r="L5221" s="5">
        <v>23053</v>
      </c>
    </row>
    <row r="5222" spans="1:12" x14ac:dyDescent="0.25">
      <c r="A5222" s="3" t="s">
        <v>15973</v>
      </c>
      <c r="B5222" s="4" t="s">
        <v>16713</v>
      </c>
      <c r="C5222" s="4" t="s">
        <v>14</v>
      </c>
      <c r="D5222" s="4" t="s">
        <v>15</v>
      </c>
      <c r="E5222" s="5" t="str">
        <f>"9360094"</f>
        <v>9360094</v>
      </c>
      <c r="F5222" s="3" t="s">
        <v>16714</v>
      </c>
      <c r="G5222" s="5">
        <v>2722022275</v>
      </c>
      <c r="H5222" s="4" t="s">
        <v>16715</v>
      </c>
      <c r="I5222" s="4" t="s">
        <v>16716</v>
      </c>
      <c r="J5222" s="4" t="s">
        <v>16717</v>
      </c>
      <c r="K5222" s="4" t="s">
        <v>16718</v>
      </c>
      <c r="L5222" s="5">
        <v>24200</v>
      </c>
    </row>
    <row r="5223" spans="1:12" x14ac:dyDescent="0.25">
      <c r="A5223" s="3" t="s">
        <v>15973</v>
      </c>
      <c r="B5223" s="4" t="s">
        <v>16713</v>
      </c>
      <c r="C5223" s="4" t="s">
        <v>25</v>
      </c>
      <c r="D5223" s="4" t="s">
        <v>26</v>
      </c>
      <c r="E5223" s="5" t="str">
        <f>"9360451"</f>
        <v>9360451</v>
      </c>
      <c r="F5223" s="3" t="s">
        <v>16719</v>
      </c>
      <c r="G5223" s="5">
        <v>2721088935</v>
      </c>
      <c r="H5223" s="4" t="s">
        <v>16720</v>
      </c>
      <c r="I5223" s="4" t="s">
        <v>16721</v>
      </c>
      <c r="J5223" s="4" t="s">
        <v>16721</v>
      </c>
      <c r="K5223" s="4" t="s">
        <v>16722</v>
      </c>
      <c r="L5223" s="5">
        <v>24100</v>
      </c>
    </row>
    <row r="5224" spans="1:12" x14ac:dyDescent="0.25">
      <c r="A5224" s="3" t="s">
        <v>15973</v>
      </c>
      <c r="B5224" s="4" t="s">
        <v>16713</v>
      </c>
      <c r="C5224" s="4" t="s">
        <v>25</v>
      </c>
      <c r="D5224" s="4" t="s">
        <v>26</v>
      </c>
      <c r="E5224" s="5" t="str">
        <f>"9360367"</f>
        <v>9360367</v>
      </c>
      <c r="F5224" s="3" t="s">
        <v>16723</v>
      </c>
      <c r="G5224" s="5">
        <v>2721086810</v>
      </c>
      <c r="H5224" s="4" t="s">
        <v>16724</v>
      </c>
      <c r="I5224" s="4" t="s">
        <v>16721</v>
      </c>
      <c r="J5224" s="4" t="s">
        <v>16725</v>
      </c>
      <c r="K5224" s="4" t="s">
        <v>16726</v>
      </c>
      <c r="L5224" s="5">
        <v>24100</v>
      </c>
    </row>
    <row r="5225" spans="1:12" x14ac:dyDescent="0.25">
      <c r="A5225" s="3" t="s">
        <v>15973</v>
      </c>
      <c r="B5225" s="4" t="s">
        <v>16713</v>
      </c>
      <c r="C5225" s="4" t="s">
        <v>14</v>
      </c>
      <c r="D5225" s="4" t="s">
        <v>15</v>
      </c>
      <c r="E5225" s="5" t="str">
        <f>"9360011"</f>
        <v>9360011</v>
      </c>
      <c r="F5225" s="3" t="s">
        <v>16727</v>
      </c>
      <c r="G5225" s="5">
        <v>2721180002</v>
      </c>
      <c r="H5225" s="4" t="s">
        <v>16728</v>
      </c>
      <c r="I5225" s="4" t="s">
        <v>16721</v>
      </c>
      <c r="J5225" s="4" t="s">
        <v>16725</v>
      </c>
      <c r="K5225" s="4" t="s">
        <v>16729</v>
      </c>
      <c r="L5225" s="5">
        <v>24100</v>
      </c>
    </row>
    <row r="5226" spans="1:12" x14ac:dyDescent="0.25">
      <c r="A5226" s="3" t="s">
        <v>15973</v>
      </c>
      <c r="B5226" s="4" t="s">
        <v>16713</v>
      </c>
      <c r="C5226" s="4" t="s">
        <v>14</v>
      </c>
      <c r="D5226" s="4" t="s">
        <v>15</v>
      </c>
      <c r="E5226" s="5" t="str">
        <f>"9360004"</f>
        <v>9360004</v>
      </c>
      <c r="F5226" s="3" t="s">
        <v>16730</v>
      </c>
      <c r="G5226" s="5">
        <v>2721180000</v>
      </c>
      <c r="H5226" s="4" t="s">
        <v>16731</v>
      </c>
      <c r="I5226" s="4" t="s">
        <v>16721</v>
      </c>
      <c r="J5226" s="4" t="s">
        <v>16725</v>
      </c>
      <c r="K5226" s="4" t="s">
        <v>16732</v>
      </c>
      <c r="L5226" s="5">
        <v>24100</v>
      </c>
    </row>
    <row r="5227" spans="1:12" x14ac:dyDescent="0.25">
      <c r="A5227" s="3" t="s">
        <v>15973</v>
      </c>
      <c r="B5227" s="4" t="s">
        <v>16713</v>
      </c>
      <c r="C5227" s="4" t="s">
        <v>25</v>
      </c>
      <c r="D5227" s="4" t="s">
        <v>26</v>
      </c>
      <c r="E5227" s="5" t="str">
        <f>"9360381"</f>
        <v>9360381</v>
      </c>
      <c r="F5227" s="3" t="s">
        <v>16733</v>
      </c>
      <c r="G5227" s="5">
        <v>2721028840</v>
      </c>
      <c r="H5227" s="4" t="s">
        <v>16734</v>
      </c>
      <c r="I5227" s="4" t="s">
        <v>16721</v>
      </c>
      <c r="J5227" s="4" t="s">
        <v>16725</v>
      </c>
      <c r="K5227" s="4" t="s">
        <v>16735</v>
      </c>
      <c r="L5227" s="5">
        <v>24100</v>
      </c>
    </row>
    <row r="5228" spans="1:12" x14ac:dyDescent="0.25">
      <c r="A5228" s="3" t="s">
        <v>15973</v>
      </c>
      <c r="B5228" s="4" t="s">
        <v>16713</v>
      </c>
      <c r="C5228" s="4" t="s">
        <v>25</v>
      </c>
      <c r="D5228" s="4" t="s">
        <v>26</v>
      </c>
      <c r="E5228" s="5" t="str">
        <f>"9360406"</f>
        <v>9360406</v>
      </c>
      <c r="F5228" s="3" t="s">
        <v>16736</v>
      </c>
      <c r="G5228" s="5">
        <v>2761022636</v>
      </c>
      <c r="H5228" s="4" t="s">
        <v>16737</v>
      </c>
      <c r="I5228" s="4" t="s">
        <v>16738</v>
      </c>
      <c r="J5228" s="4" t="s">
        <v>16739</v>
      </c>
      <c r="K5228" s="4" t="s">
        <v>7410</v>
      </c>
      <c r="L5228" s="5">
        <v>24500</v>
      </c>
    </row>
    <row r="5229" spans="1:12" x14ac:dyDescent="0.25">
      <c r="A5229" s="3" t="s">
        <v>15973</v>
      </c>
      <c r="B5229" s="4" t="s">
        <v>16713</v>
      </c>
      <c r="C5229" s="4" t="s">
        <v>14</v>
      </c>
      <c r="D5229" s="4" t="s">
        <v>15</v>
      </c>
      <c r="E5229" s="5" t="str">
        <f>"9360016"</f>
        <v>9360016</v>
      </c>
      <c r="F5229" s="3" t="s">
        <v>16740</v>
      </c>
      <c r="G5229" s="5">
        <v>2721023175</v>
      </c>
      <c r="H5229" s="4" t="s">
        <v>16741</v>
      </c>
      <c r="I5229" s="4" t="s">
        <v>16721</v>
      </c>
      <c r="J5229" s="4" t="s">
        <v>16725</v>
      </c>
      <c r="K5229" s="4" t="s">
        <v>16742</v>
      </c>
      <c r="L5229" s="5">
        <v>24100</v>
      </c>
    </row>
    <row r="5230" spans="1:12" x14ac:dyDescent="0.25">
      <c r="A5230" s="3" t="s">
        <v>15973</v>
      </c>
      <c r="B5230" s="4" t="s">
        <v>16713</v>
      </c>
      <c r="C5230" s="4" t="s">
        <v>14</v>
      </c>
      <c r="D5230" s="4" t="s">
        <v>15</v>
      </c>
      <c r="E5230" s="5" t="str">
        <f>"9360149"</f>
        <v>9360149</v>
      </c>
      <c r="F5230" s="3" t="s">
        <v>16743</v>
      </c>
      <c r="G5230" s="5">
        <v>2724180001</v>
      </c>
      <c r="H5230" s="4" t="s">
        <v>16744</v>
      </c>
      <c r="I5230" s="4" t="s">
        <v>16745</v>
      </c>
      <c r="J5230" s="4" t="s">
        <v>16746</v>
      </c>
      <c r="K5230" s="4" t="s">
        <v>16746</v>
      </c>
      <c r="L5230" s="5">
        <v>24002</v>
      </c>
    </row>
    <row r="5231" spans="1:12" x14ac:dyDescent="0.25">
      <c r="A5231" s="3" t="s">
        <v>15973</v>
      </c>
      <c r="B5231" s="4" t="s">
        <v>16713</v>
      </c>
      <c r="C5231" s="4" t="s">
        <v>14</v>
      </c>
      <c r="D5231" s="4" t="s">
        <v>15</v>
      </c>
      <c r="E5231" s="5" t="str">
        <f>"9360098"</f>
        <v>9360098</v>
      </c>
      <c r="F5231" s="3" t="s">
        <v>16747</v>
      </c>
      <c r="G5231" s="5">
        <v>2722022504</v>
      </c>
      <c r="H5231" s="4" t="s">
        <v>16748</v>
      </c>
      <c r="I5231" s="4" t="s">
        <v>16716</v>
      </c>
      <c r="J5231" s="4" t="s">
        <v>16717</v>
      </c>
      <c r="K5231" s="4" t="s">
        <v>16749</v>
      </c>
      <c r="L5231" s="5">
        <v>24200</v>
      </c>
    </row>
    <row r="5232" spans="1:12" x14ac:dyDescent="0.25">
      <c r="A5232" s="3" t="s">
        <v>15973</v>
      </c>
      <c r="B5232" s="4" t="s">
        <v>16713</v>
      </c>
      <c r="C5232" s="4" t="s">
        <v>14</v>
      </c>
      <c r="D5232" s="4" t="s">
        <v>15</v>
      </c>
      <c r="E5232" s="5" t="str">
        <f>"9360460"</f>
        <v>9360460</v>
      </c>
      <c r="F5232" s="3" t="s">
        <v>16750</v>
      </c>
      <c r="G5232" s="5">
        <v>2721021055</v>
      </c>
      <c r="H5232" s="4" t="s">
        <v>16751</v>
      </c>
      <c r="I5232" s="4" t="s">
        <v>16721</v>
      </c>
      <c r="J5232" s="4" t="s">
        <v>16725</v>
      </c>
      <c r="K5232" s="4" t="s">
        <v>16752</v>
      </c>
      <c r="L5232" s="5">
        <v>24100</v>
      </c>
    </row>
    <row r="5233" spans="1:12" x14ac:dyDescent="0.25">
      <c r="A5233" s="3" t="s">
        <v>15973</v>
      </c>
      <c r="B5233" s="4" t="s">
        <v>16713</v>
      </c>
      <c r="C5233" s="4" t="s">
        <v>14</v>
      </c>
      <c r="D5233" s="4" t="s">
        <v>15</v>
      </c>
      <c r="E5233" s="5" t="str">
        <f>"9360086"</f>
        <v>9360086</v>
      </c>
      <c r="F5233" s="3" t="s">
        <v>16753</v>
      </c>
      <c r="G5233" s="5">
        <v>2721041334</v>
      </c>
      <c r="H5233" s="4" t="s">
        <v>16754</v>
      </c>
      <c r="I5233" s="4" t="s">
        <v>16721</v>
      </c>
      <c r="J5233" s="4" t="s">
        <v>16755</v>
      </c>
      <c r="K5233" s="4" t="s">
        <v>16755</v>
      </c>
      <c r="L5233" s="5">
        <v>24100</v>
      </c>
    </row>
    <row r="5234" spans="1:12" x14ac:dyDescent="0.25">
      <c r="A5234" s="3" t="s">
        <v>15973</v>
      </c>
      <c r="B5234" s="4" t="s">
        <v>16713</v>
      </c>
      <c r="C5234" s="4" t="s">
        <v>14</v>
      </c>
      <c r="D5234" s="4" t="s">
        <v>15</v>
      </c>
      <c r="E5234" s="5" t="str">
        <f>"9360269"</f>
        <v>9360269</v>
      </c>
      <c r="F5234" s="3" t="s">
        <v>16756</v>
      </c>
      <c r="G5234" s="5">
        <v>2763031332</v>
      </c>
      <c r="H5234" s="4" t="s">
        <v>16757</v>
      </c>
      <c r="I5234" s="4" t="s">
        <v>16758</v>
      </c>
      <c r="J5234" s="4" t="s">
        <v>16759</v>
      </c>
      <c r="K5234" s="4" t="s">
        <v>16760</v>
      </c>
      <c r="L5234" s="5">
        <v>24600</v>
      </c>
    </row>
    <row r="5235" spans="1:12" x14ac:dyDescent="0.25">
      <c r="A5235" s="3" t="s">
        <v>15973</v>
      </c>
      <c r="B5235" s="4" t="s">
        <v>16713</v>
      </c>
      <c r="C5235" s="4" t="s">
        <v>14</v>
      </c>
      <c r="D5235" s="4" t="s">
        <v>15</v>
      </c>
      <c r="E5235" s="5" t="str">
        <f>"9360025"</f>
        <v>9360025</v>
      </c>
      <c r="F5235" s="3" t="s">
        <v>16761</v>
      </c>
      <c r="G5235" s="5">
        <v>2721022880</v>
      </c>
      <c r="H5235" s="4" t="s">
        <v>16762</v>
      </c>
      <c r="I5235" s="4" t="s">
        <v>16721</v>
      </c>
      <c r="J5235" s="4" t="s">
        <v>16725</v>
      </c>
      <c r="K5235" s="4" t="s">
        <v>16763</v>
      </c>
      <c r="L5235" s="5">
        <v>24100</v>
      </c>
    </row>
    <row r="5236" spans="1:12" x14ac:dyDescent="0.25">
      <c r="A5236" s="3" t="s">
        <v>15973</v>
      </c>
      <c r="B5236" s="4" t="s">
        <v>16713</v>
      </c>
      <c r="C5236" s="4" t="s">
        <v>14</v>
      </c>
      <c r="D5236" s="4" t="s">
        <v>15</v>
      </c>
      <c r="E5236" s="5" t="str">
        <f>"9360300"</f>
        <v>9360300</v>
      </c>
      <c r="F5236" s="3" t="s">
        <v>16764</v>
      </c>
      <c r="G5236" s="5">
        <v>2761032260</v>
      </c>
      <c r="H5236" s="4" t="s">
        <v>16765</v>
      </c>
      <c r="I5236" s="4" t="s">
        <v>16738</v>
      </c>
      <c r="J5236" s="4" t="s">
        <v>16766</v>
      </c>
      <c r="K5236" s="4" t="s">
        <v>16767</v>
      </c>
      <c r="L5236" s="5">
        <v>24300</v>
      </c>
    </row>
    <row r="5237" spans="1:12" x14ac:dyDescent="0.25">
      <c r="A5237" s="3" t="s">
        <v>15973</v>
      </c>
      <c r="B5237" s="4" t="s">
        <v>16713</v>
      </c>
      <c r="C5237" s="4" t="s">
        <v>25</v>
      </c>
      <c r="D5237" s="4" t="s">
        <v>26</v>
      </c>
      <c r="E5237" s="5" t="str">
        <f>"9360446"</f>
        <v>9360446</v>
      </c>
      <c r="F5237" s="3" t="s">
        <v>16768</v>
      </c>
      <c r="G5237" s="5">
        <v>2721088441</v>
      </c>
      <c r="H5237" s="4" t="s">
        <v>16769</v>
      </c>
      <c r="I5237" s="4" t="s">
        <v>16721</v>
      </c>
      <c r="J5237" s="4" t="s">
        <v>16725</v>
      </c>
      <c r="K5237" s="4" t="s">
        <v>16770</v>
      </c>
      <c r="L5237" s="5">
        <v>24100</v>
      </c>
    </row>
    <row r="5238" spans="1:12" x14ac:dyDescent="0.25">
      <c r="A5238" s="3" t="s">
        <v>15973</v>
      </c>
      <c r="B5238" s="4" t="s">
        <v>16713</v>
      </c>
      <c r="C5238" s="4" t="s">
        <v>14</v>
      </c>
      <c r="D5238" s="4" t="s">
        <v>15</v>
      </c>
      <c r="E5238" s="5" t="str">
        <f>"9360299"</f>
        <v>9360299</v>
      </c>
      <c r="F5238" s="3" t="s">
        <v>16771</v>
      </c>
      <c r="G5238" s="5">
        <v>2761180005</v>
      </c>
      <c r="H5238" s="4" t="s">
        <v>16772</v>
      </c>
      <c r="I5238" s="4" t="s">
        <v>16738</v>
      </c>
      <c r="J5238" s="4" t="s">
        <v>16773</v>
      </c>
      <c r="K5238" s="4" t="s">
        <v>16774</v>
      </c>
      <c r="L5238" s="5">
        <v>24300</v>
      </c>
    </row>
    <row r="5239" spans="1:12" x14ac:dyDescent="0.25">
      <c r="A5239" s="3" t="s">
        <v>15973</v>
      </c>
      <c r="B5239" s="4" t="s">
        <v>16713</v>
      </c>
      <c r="C5239" s="4" t="s">
        <v>14</v>
      </c>
      <c r="D5239" s="4" t="s">
        <v>15</v>
      </c>
      <c r="E5239" s="5" t="str">
        <f>"9360051"</f>
        <v>9360051</v>
      </c>
      <c r="F5239" s="3" t="s">
        <v>16775</v>
      </c>
      <c r="G5239" s="5">
        <v>2721032381</v>
      </c>
      <c r="H5239" s="4" t="s">
        <v>16776</v>
      </c>
      <c r="I5239" s="4" t="s">
        <v>16721</v>
      </c>
      <c r="J5239" s="4" t="s">
        <v>16777</v>
      </c>
      <c r="K5239" s="4" t="s">
        <v>16777</v>
      </c>
      <c r="L5239" s="5">
        <v>24009</v>
      </c>
    </row>
    <row r="5240" spans="1:12" x14ac:dyDescent="0.25">
      <c r="A5240" s="3" t="s">
        <v>15973</v>
      </c>
      <c r="B5240" s="4" t="s">
        <v>16713</v>
      </c>
      <c r="C5240" s="4" t="s">
        <v>14</v>
      </c>
      <c r="D5240" s="4" t="s">
        <v>15</v>
      </c>
      <c r="E5240" s="5" t="str">
        <f>"9360009"</f>
        <v>9360009</v>
      </c>
      <c r="F5240" s="3" t="s">
        <v>16778</v>
      </c>
      <c r="G5240" s="5">
        <v>2721024888</v>
      </c>
      <c r="H5240" s="4" t="s">
        <v>16779</v>
      </c>
      <c r="I5240" s="4" t="s">
        <v>16721</v>
      </c>
      <c r="J5240" s="4" t="s">
        <v>16725</v>
      </c>
      <c r="K5240" s="4" t="s">
        <v>16780</v>
      </c>
      <c r="L5240" s="5">
        <v>24134</v>
      </c>
    </row>
    <row r="5241" spans="1:12" x14ac:dyDescent="0.25">
      <c r="A5241" s="3" t="s">
        <v>15973</v>
      </c>
      <c r="B5241" s="4" t="s">
        <v>16713</v>
      </c>
      <c r="C5241" s="4" t="s">
        <v>25</v>
      </c>
      <c r="D5241" s="4" t="s">
        <v>26</v>
      </c>
      <c r="E5241" s="5" t="str">
        <f>"9360024"</f>
        <v>9360024</v>
      </c>
      <c r="F5241" s="3" t="s">
        <v>16781</v>
      </c>
      <c r="G5241" s="5">
        <v>2721083684</v>
      </c>
      <c r="H5241" s="4" t="s">
        <v>16782</v>
      </c>
      <c r="I5241" s="4" t="s">
        <v>16721</v>
      </c>
      <c r="J5241" s="4" t="s">
        <v>16725</v>
      </c>
      <c r="K5241" s="4" t="s">
        <v>16783</v>
      </c>
      <c r="L5241" s="5">
        <v>24131</v>
      </c>
    </row>
    <row r="5242" spans="1:12" x14ac:dyDescent="0.25">
      <c r="A5242" s="3" t="s">
        <v>15973</v>
      </c>
      <c r="B5242" s="4" t="s">
        <v>16713</v>
      </c>
      <c r="C5242" s="4" t="s">
        <v>14</v>
      </c>
      <c r="D5242" s="4" t="s">
        <v>15</v>
      </c>
      <c r="E5242" s="5" t="str">
        <f>"9360298"</f>
        <v>9360298</v>
      </c>
      <c r="F5242" s="3" t="s">
        <v>16784</v>
      </c>
      <c r="G5242" s="5">
        <v>2761032394</v>
      </c>
      <c r="H5242" s="4" t="s">
        <v>16785</v>
      </c>
      <c r="I5242" s="4" t="s">
        <v>16738</v>
      </c>
      <c r="J5242" s="4" t="s">
        <v>16773</v>
      </c>
      <c r="K5242" s="4" t="s">
        <v>16786</v>
      </c>
      <c r="L5242" s="5">
        <v>24300</v>
      </c>
    </row>
    <row r="5243" spans="1:12" x14ac:dyDescent="0.25">
      <c r="A5243" s="3" t="s">
        <v>15973</v>
      </c>
      <c r="B5243" s="4" t="s">
        <v>16713</v>
      </c>
      <c r="C5243" s="4" t="s">
        <v>25</v>
      </c>
      <c r="D5243" s="4" t="s">
        <v>26</v>
      </c>
      <c r="E5243" s="5" t="str">
        <f>"9360400"</f>
        <v>9360400</v>
      </c>
      <c r="F5243" s="3" t="s">
        <v>16787</v>
      </c>
      <c r="G5243" s="5">
        <v>2721087457</v>
      </c>
      <c r="H5243" s="4" t="s">
        <v>16788</v>
      </c>
      <c r="I5243" s="4" t="s">
        <v>16721</v>
      </c>
      <c r="J5243" s="4" t="s">
        <v>16725</v>
      </c>
      <c r="K5243" s="4" t="s">
        <v>16789</v>
      </c>
      <c r="L5243" s="5">
        <v>24100</v>
      </c>
    </row>
    <row r="5244" spans="1:12" x14ac:dyDescent="0.25">
      <c r="A5244" s="3" t="s">
        <v>15973</v>
      </c>
      <c r="B5244" s="4" t="s">
        <v>16713</v>
      </c>
      <c r="C5244" s="4" t="s">
        <v>14</v>
      </c>
      <c r="D5244" s="4" t="s">
        <v>15</v>
      </c>
      <c r="E5244" s="5" t="str">
        <f>"9360021"</f>
        <v>9360021</v>
      </c>
      <c r="F5244" s="3" t="s">
        <v>16790</v>
      </c>
      <c r="G5244" s="5">
        <v>6932634636</v>
      </c>
      <c r="H5244" s="4" t="s">
        <v>16791</v>
      </c>
      <c r="I5244" s="4" t="s">
        <v>16721</v>
      </c>
      <c r="J5244" s="4" t="s">
        <v>16725</v>
      </c>
      <c r="K5244" s="4" t="s">
        <v>16792</v>
      </c>
      <c r="L5244" s="5">
        <v>24100</v>
      </c>
    </row>
    <row r="5245" spans="1:12" ht="30" x14ac:dyDescent="0.25">
      <c r="A5245" s="3" t="s">
        <v>15973</v>
      </c>
      <c r="B5245" s="4" t="s">
        <v>16713</v>
      </c>
      <c r="C5245" s="4" t="s">
        <v>14</v>
      </c>
      <c r="D5245" s="4" t="s">
        <v>830</v>
      </c>
      <c r="E5245" s="5" t="str">
        <f>"9360005"</f>
        <v>9360005</v>
      </c>
      <c r="F5245" s="3" t="s">
        <v>16793</v>
      </c>
      <c r="G5245" s="5">
        <v>2721082708</v>
      </c>
      <c r="H5245" s="4" t="s">
        <v>16794</v>
      </c>
      <c r="I5245" s="4" t="s">
        <v>16721</v>
      </c>
      <c r="J5245" s="4" t="s">
        <v>16725</v>
      </c>
      <c r="K5245" s="4" t="s">
        <v>16795</v>
      </c>
      <c r="L5245" s="5">
        <v>24132</v>
      </c>
    </row>
    <row r="5246" spans="1:12" x14ac:dyDescent="0.25">
      <c r="A5246" s="3" t="s">
        <v>15973</v>
      </c>
      <c r="B5246" s="4" t="s">
        <v>16713</v>
      </c>
      <c r="C5246" s="4" t="s">
        <v>25</v>
      </c>
      <c r="D5246" s="4" t="s">
        <v>26</v>
      </c>
      <c r="E5246" s="5" t="str">
        <f>"9360429"</f>
        <v>9360429</v>
      </c>
      <c r="F5246" s="3" t="s">
        <v>16796</v>
      </c>
      <c r="G5246" s="5">
        <v>2721082500</v>
      </c>
      <c r="H5246" s="4" t="s">
        <v>16797</v>
      </c>
      <c r="I5246" s="4" t="s">
        <v>16721</v>
      </c>
      <c r="J5246" s="4" t="s">
        <v>16725</v>
      </c>
      <c r="K5246" s="4" t="s">
        <v>16798</v>
      </c>
      <c r="L5246" s="5">
        <v>24100</v>
      </c>
    </row>
    <row r="5247" spans="1:12" x14ac:dyDescent="0.25">
      <c r="A5247" s="3" t="s">
        <v>15973</v>
      </c>
      <c r="B5247" s="4" t="s">
        <v>16713</v>
      </c>
      <c r="C5247" s="4" t="s">
        <v>25</v>
      </c>
      <c r="D5247" s="4" t="s">
        <v>26</v>
      </c>
      <c r="E5247" s="5" t="str">
        <f>"9360378"</f>
        <v>9360378</v>
      </c>
      <c r="F5247" s="3" t="s">
        <v>16799</v>
      </c>
      <c r="G5247" s="5">
        <v>2721082500</v>
      </c>
      <c r="H5247" s="4" t="s">
        <v>16800</v>
      </c>
      <c r="I5247" s="4" t="s">
        <v>16721</v>
      </c>
      <c r="J5247" s="4" t="s">
        <v>16725</v>
      </c>
      <c r="K5247" s="4" t="s">
        <v>16801</v>
      </c>
      <c r="L5247" s="5">
        <v>24100</v>
      </c>
    </row>
    <row r="5248" spans="1:12" x14ac:dyDescent="0.25">
      <c r="A5248" s="3" t="s">
        <v>15973</v>
      </c>
      <c r="B5248" s="4" t="s">
        <v>16713</v>
      </c>
      <c r="C5248" s="4" t="s">
        <v>25</v>
      </c>
      <c r="D5248" s="4" t="s">
        <v>26</v>
      </c>
      <c r="E5248" s="5" t="str">
        <f>"9360436"</f>
        <v>9360436</v>
      </c>
      <c r="F5248" s="3" t="s">
        <v>16802</v>
      </c>
      <c r="G5248" s="5">
        <v>2721042080</v>
      </c>
      <c r="H5248" s="4" t="s">
        <v>16803</v>
      </c>
      <c r="I5248" s="4" t="s">
        <v>16721</v>
      </c>
      <c r="J5248" s="4" t="s">
        <v>16755</v>
      </c>
      <c r="K5248" s="4" t="s">
        <v>16755</v>
      </c>
      <c r="L5248" s="5">
        <v>24100</v>
      </c>
    </row>
    <row r="5249" spans="1:12" x14ac:dyDescent="0.25">
      <c r="A5249" s="3" t="s">
        <v>15973</v>
      </c>
      <c r="B5249" s="4" t="s">
        <v>16713</v>
      </c>
      <c r="C5249" s="4" t="s">
        <v>14</v>
      </c>
      <c r="D5249" s="4" t="s">
        <v>15</v>
      </c>
      <c r="E5249" s="5" t="str">
        <f>"9360029"</f>
        <v>9360029</v>
      </c>
      <c r="F5249" s="3" t="s">
        <v>16804</v>
      </c>
      <c r="G5249" s="5">
        <v>2721084470</v>
      </c>
      <c r="H5249" s="4" t="s">
        <v>16805</v>
      </c>
      <c r="I5249" s="4" t="s">
        <v>16721</v>
      </c>
      <c r="J5249" s="4" t="s">
        <v>16725</v>
      </c>
      <c r="K5249" s="4" t="s">
        <v>16806</v>
      </c>
      <c r="L5249" s="5">
        <v>24100</v>
      </c>
    </row>
    <row r="5250" spans="1:12" x14ac:dyDescent="0.25">
      <c r="A5250" s="3" t="s">
        <v>15973</v>
      </c>
      <c r="B5250" s="4" t="s">
        <v>16713</v>
      </c>
      <c r="C5250" s="4" t="s">
        <v>14</v>
      </c>
      <c r="D5250" s="4" t="s">
        <v>15</v>
      </c>
      <c r="E5250" s="5" t="str">
        <f>"9360418"</f>
        <v>9360418</v>
      </c>
      <c r="F5250" s="3" t="s">
        <v>16807</v>
      </c>
      <c r="G5250" s="5">
        <v>2721082884</v>
      </c>
      <c r="H5250" s="4" t="s">
        <v>16808</v>
      </c>
      <c r="I5250" s="4" t="s">
        <v>16721</v>
      </c>
      <c r="J5250" s="4" t="s">
        <v>16725</v>
      </c>
      <c r="K5250" s="4" t="s">
        <v>16809</v>
      </c>
      <c r="L5250" s="5">
        <v>24100</v>
      </c>
    </row>
    <row r="5251" spans="1:12" x14ac:dyDescent="0.25">
      <c r="A5251" s="3" t="s">
        <v>15973</v>
      </c>
      <c r="B5251" s="4" t="s">
        <v>16713</v>
      </c>
      <c r="C5251" s="4" t="s">
        <v>14</v>
      </c>
      <c r="D5251" s="4" t="s">
        <v>15</v>
      </c>
      <c r="E5251" s="5" t="str">
        <f>"9360027"</f>
        <v>9360027</v>
      </c>
      <c r="F5251" s="3" t="s">
        <v>16810</v>
      </c>
      <c r="G5251" s="5">
        <v>2721023030</v>
      </c>
      <c r="H5251" s="4" t="s">
        <v>16811</v>
      </c>
      <c r="I5251" s="4" t="s">
        <v>16721</v>
      </c>
      <c r="J5251" s="4" t="s">
        <v>16725</v>
      </c>
      <c r="K5251" s="4" t="s">
        <v>16812</v>
      </c>
      <c r="L5251" s="5">
        <v>24100</v>
      </c>
    </row>
    <row r="5252" spans="1:12" x14ac:dyDescent="0.25">
      <c r="A5252" s="3" t="s">
        <v>15973</v>
      </c>
      <c r="B5252" s="4" t="s">
        <v>16713</v>
      </c>
      <c r="C5252" s="4" t="s">
        <v>14</v>
      </c>
      <c r="D5252" s="4" t="s">
        <v>15</v>
      </c>
      <c r="E5252" s="5" t="str">
        <f>"9360292"</f>
        <v>9360292</v>
      </c>
      <c r="F5252" s="3" t="s">
        <v>16813</v>
      </c>
      <c r="G5252" s="5">
        <v>2761180004</v>
      </c>
      <c r="H5252" s="4" t="s">
        <v>16814</v>
      </c>
      <c r="I5252" s="4" t="s">
        <v>16738</v>
      </c>
      <c r="J5252" s="4" t="s">
        <v>16739</v>
      </c>
      <c r="K5252" s="4" t="s">
        <v>16815</v>
      </c>
      <c r="L5252" s="5">
        <v>24500</v>
      </c>
    </row>
    <row r="5253" spans="1:12" x14ac:dyDescent="0.25">
      <c r="A5253" s="3" t="s">
        <v>15973</v>
      </c>
      <c r="B5253" s="4" t="s">
        <v>16713</v>
      </c>
      <c r="C5253" s="4" t="s">
        <v>25</v>
      </c>
      <c r="D5253" s="4" t="s">
        <v>26</v>
      </c>
      <c r="E5253" s="5" t="str">
        <f>"9360414"</f>
        <v>9360414</v>
      </c>
      <c r="F5253" s="3" t="s">
        <v>16816</v>
      </c>
      <c r="G5253" s="5">
        <v>2721084028</v>
      </c>
      <c r="H5253" s="4" t="s">
        <v>16817</v>
      </c>
      <c r="I5253" s="4" t="s">
        <v>16721</v>
      </c>
      <c r="J5253" s="4" t="s">
        <v>16725</v>
      </c>
      <c r="K5253" s="4" t="s">
        <v>16818</v>
      </c>
      <c r="L5253" s="5">
        <v>24100</v>
      </c>
    </row>
    <row r="5254" spans="1:12" x14ac:dyDescent="0.25">
      <c r="A5254" s="3" t="s">
        <v>15973</v>
      </c>
      <c r="B5254" s="4" t="s">
        <v>16713</v>
      </c>
      <c r="C5254" s="4" t="s">
        <v>25</v>
      </c>
      <c r="D5254" s="4" t="s">
        <v>26</v>
      </c>
      <c r="E5254" s="5" t="str">
        <f>"9360178"</f>
        <v>9360178</v>
      </c>
      <c r="F5254" s="3" t="s">
        <v>16819</v>
      </c>
      <c r="G5254" s="5">
        <v>2723022284</v>
      </c>
      <c r="H5254" s="4" t="s">
        <v>16820</v>
      </c>
      <c r="I5254" s="4" t="s">
        <v>16758</v>
      </c>
      <c r="J5254" s="4" t="s">
        <v>16821</v>
      </c>
      <c r="K5254" s="4" t="s">
        <v>16821</v>
      </c>
      <c r="L5254" s="5">
        <v>24001</v>
      </c>
    </row>
    <row r="5255" spans="1:12" x14ac:dyDescent="0.25">
      <c r="A5255" s="3" t="s">
        <v>15973</v>
      </c>
      <c r="B5255" s="4" t="s">
        <v>16713</v>
      </c>
      <c r="C5255" s="4" t="s">
        <v>14</v>
      </c>
      <c r="D5255" s="4" t="s">
        <v>15</v>
      </c>
      <c r="E5255" s="5" t="str">
        <f>"9360007"</f>
        <v>9360007</v>
      </c>
      <c r="F5255" s="3" t="s">
        <v>16822</v>
      </c>
      <c r="G5255" s="5">
        <v>2721023521</v>
      </c>
      <c r="H5255" s="4" t="s">
        <v>16823</v>
      </c>
      <c r="I5255" s="4" t="s">
        <v>16721</v>
      </c>
      <c r="J5255" s="4" t="s">
        <v>16725</v>
      </c>
      <c r="K5255" s="4" t="s">
        <v>16824</v>
      </c>
      <c r="L5255" s="5">
        <v>24133</v>
      </c>
    </row>
    <row r="5256" spans="1:12" x14ac:dyDescent="0.25">
      <c r="A5256" s="3" t="s">
        <v>15973</v>
      </c>
      <c r="B5256" s="4" t="s">
        <v>16713</v>
      </c>
      <c r="C5256" s="4" t="s">
        <v>25</v>
      </c>
      <c r="D5256" s="4" t="s">
        <v>26</v>
      </c>
      <c r="E5256" s="5" t="str">
        <f>"9360291"</f>
        <v>9360291</v>
      </c>
      <c r="F5256" s="3" t="s">
        <v>16825</v>
      </c>
      <c r="G5256" s="5">
        <v>2761022091</v>
      </c>
      <c r="H5256" s="4" t="s">
        <v>16826</v>
      </c>
      <c r="I5256" s="4" t="s">
        <v>16738</v>
      </c>
      <c r="J5256" s="4" t="s">
        <v>16739</v>
      </c>
      <c r="K5256" s="4" t="s">
        <v>16827</v>
      </c>
      <c r="L5256" s="5">
        <v>24500</v>
      </c>
    </row>
    <row r="5257" spans="1:12" x14ac:dyDescent="0.25">
      <c r="A5257" s="3" t="s">
        <v>15973</v>
      </c>
      <c r="B5257" s="4" t="s">
        <v>16713</v>
      </c>
      <c r="C5257" s="4" t="s">
        <v>14</v>
      </c>
      <c r="D5257" s="4" t="s">
        <v>15</v>
      </c>
      <c r="E5257" s="5" t="str">
        <f>"9360293"</f>
        <v>9360293</v>
      </c>
      <c r="F5257" s="3" t="s">
        <v>16828</v>
      </c>
      <c r="G5257" s="5">
        <v>2761180051</v>
      </c>
      <c r="H5257" s="4" t="s">
        <v>16829</v>
      </c>
      <c r="I5257" s="4" t="s">
        <v>16738</v>
      </c>
      <c r="J5257" s="4" t="s">
        <v>16830</v>
      </c>
      <c r="K5257" s="4" t="s">
        <v>16831</v>
      </c>
      <c r="L5257" s="5">
        <v>24500</v>
      </c>
    </row>
    <row r="5258" spans="1:12" x14ac:dyDescent="0.25">
      <c r="A5258" s="3" t="s">
        <v>15973</v>
      </c>
      <c r="B5258" s="4" t="s">
        <v>16713</v>
      </c>
      <c r="C5258" s="4" t="s">
        <v>14</v>
      </c>
      <c r="D5258" s="4" t="s">
        <v>15</v>
      </c>
      <c r="E5258" s="5" t="str">
        <f>"9360287"</f>
        <v>9360287</v>
      </c>
      <c r="F5258" s="3" t="s">
        <v>16832</v>
      </c>
      <c r="G5258" s="5">
        <v>2763180001</v>
      </c>
      <c r="H5258" s="4" t="s">
        <v>16833</v>
      </c>
      <c r="I5258" s="4" t="s">
        <v>16738</v>
      </c>
      <c r="J5258" s="4" t="s">
        <v>16834</v>
      </c>
      <c r="K5258" s="4" t="s">
        <v>16835</v>
      </c>
      <c r="L5258" s="5">
        <v>24400</v>
      </c>
    </row>
    <row r="5259" spans="1:12" ht="30" x14ac:dyDescent="0.25">
      <c r="A5259" s="3" t="s">
        <v>15973</v>
      </c>
      <c r="B5259" s="4" t="s">
        <v>16713</v>
      </c>
      <c r="C5259" s="4" t="s">
        <v>14</v>
      </c>
      <c r="D5259" s="4" t="s">
        <v>15</v>
      </c>
      <c r="E5259" s="5" t="str">
        <f>"9360002"</f>
        <v>9360002</v>
      </c>
      <c r="F5259" s="3" t="s">
        <v>16836</v>
      </c>
      <c r="G5259" s="5">
        <v>2721077481</v>
      </c>
      <c r="H5259" s="4" t="s">
        <v>16837</v>
      </c>
      <c r="I5259" s="4" t="s">
        <v>16838</v>
      </c>
      <c r="J5259" s="4" t="s">
        <v>16839</v>
      </c>
      <c r="K5259" s="4" t="s">
        <v>16839</v>
      </c>
      <c r="L5259" s="5">
        <v>24024</v>
      </c>
    </row>
    <row r="5260" spans="1:12" x14ac:dyDescent="0.25">
      <c r="A5260" s="3" t="s">
        <v>15973</v>
      </c>
      <c r="B5260" s="4" t="s">
        <v>16713</v>
      </c>
      <c r="C5260" s="4" t="s">
        <v>25</v>
      </c>
      <c r="D5260" s="4" t="s">
        <v>26</v>
      </c>
      <c r="E5260" s="5" t="str">
        <f>"9360392"</f>
        <v>9360392</v>
      </c>
      <c r="F5260" s="3" t="s">
        <v>16840</v>
      </c>
      <c r="G5260" s="5">
        <v>2721083696</v>
      </c>
      <c r="H5260" s="4" t="s">
        <v>16841</v>
      </c>
      <c r="I5260" s="4" t="s">
        <v>16721</v>
      </c>
      <c r="J5260" s="4" t="s">
        <v>16725</v>
      </c>
      <c r="K5260" s="4" t="s">
        <v>16842</v>
      </c>
      <c r="L5260" s="5">
        <v>24100</v>
      </c>
    </row>
    <row r="5261" spans="1:12" x14ac:dyDescent="0.25">
      <c r="A5261" s="3" t="s">
        <v>15973</v>
      </c>
      <c r="B5261" s="4" t="s">
        <v>16713</v>
      </c>
      <c r="C5261" s="4" t="s">
        <v>14</v>
      </c>
      <c r="D5261" s="4" t="s">
        <v>15</v>
      </c>
      <c r="E5261" s="5" t="str">
        <f>"9360288"</f>
        <v>9360288</v>
      </c>
      <c r="F5261" s="3" t="s">
        <v>16843</v>
      </c>
      <c r="G5261" s="5">
        <v>2763022273</v>
      </c>
      <c r="H5261" s="4" t="s">
        <v>16844</v>
      </c>
      <c r="I5261" s="4" t="s">
        <v>16738</v>
      </c>
      <c r="J5261" s="4" t="s">
        <v>16834</v>
      </c>
      <c r="K5261" s="4" t="s">
        <v>408</v>
      </c>
      <c r="L5261" s="5">
        <v>24400</v>
      </c>
    </row>
    <row r="5262" spans="1:12" x14ac:dyDescent="0.25">
      <c r="A5262" s="3" t="s">
        <v>15973</v>
      </c>
      <c r="B5262" s="4" t="s">
        <v>16713</v>
      </c>
      <c r="C5262" s="4" t="s">
        <v>25</v>
      </c>
      <c r="D5262" s="4" t="s">
        <v>26</v>
      </c>
      <c r="E5262" s="5" t="str">
        <f>"9360401"</f>
        <v>9360401</v>
      </c>
      <c r="F5262" s="3" t="s">
        <v>16845</v>
      </c>
      <c r="G5262" s="5">
        <v>2721032312</v>
      </c>
      <c r="H5262" s="4" t="s">
        <v>16846</v>
      </c>
      <c r="I5262" s="4" t="s">
        <v>16721</v>
      </c>
      <c r="J5262" s="4" t="s">
        <v>16777</v>
      </c>
      <c r="K5262" s="4" t="s">
        <v>16777</v>
      </c>
      <c r="L5262" s="5">
        <v>24009</v>
      </c>
    </row>
    <row r="5263" spans="1:12" x14ac:dyDescent="0.25">
      <c r="A5263" s="3" t="s">
        <v>15973</v>
      </c>
      <c r="B5263" s="4" t="s">
        <v>16713</v>
      </c>
      <c r="C5263" s="4" t="s">
        <v>25</v>
      </c>
      <c r="D5263" s="4" t="s">
        <v>26</v>
      </c>
      <c r="E5263" s="5" t="str">
        <f>"9360095"</f>
        <v>9360095</v>
      </c>
      <c r="F5263" s="3" t="s">
        <v>16847</v>
      </c>
      <c r="G5263" s="5">
        <v>2722022873</v>
      </c>
      <c r="H5263" s="4" t="s">
        <v>16848</v>
      </c>
      <c r="I5263" s="4" t="s">
        <v>16716</v>
      </c>
      <c r="J5263" s="4" t="s">
        <v>16717</v>
      </c>
      <c r="K5263" s="4" t="s">
        <v>16849</v>
      </c>
      <c r="L5263" s="5">
        <v>24200</v>
      </c>
    </row>
    <row r="5264" spans="1:12" x14ac:dyDescent="0.25">
      <c r="A5264" s="3" t="s">
        <v>15973</v>
      </c>
      <c r="B5264" s="4" t="s">
        <v>16713</v>
      </c>
      <c r="C5264" s="4" t="s">
        <v>14</v>
      </c>
      <c r="D5264" s="4" t="s">
        <v>15</v>
      </c>
      <c r="E5264" s="5" t="str">
        <f>"9360030"</f>
        <v>9360030</v>
      </c>
      <c r="F5264" s="3" t="s">
        <v>16850</v>
      </c>
      <c r="G5264" s="5">
        <v>2721024296</v>
      </c>
      <c r="H5264" s="4" t="s">
        <v>16851</v>
      </c>
      <c r="I5264" s="4" t="s">
        <v>16721</v>
      </c>
      <c r="J5264" s="4" t="s">
        <v>16725</v>
      </c>
      <c r="K5264" s="4" t="s">
        <v>16852</v>
      </c>
      <c r="L5264" s="5">
        <v>24131</v>
      </c>
    </row>
    <row r="5265" spans="1:12" x14ac:dyDescent="0.25">
      <c r="A5265" s="3" t="s">
        <v>15973</v>
      </c>
      <c r="B5265" s="4" t="s">
        <v>16713</v>
      </c>
      <c r="C5265" s="4" t="s">
        <v>25</v>
      </c>
      <c r="D5265" s="4" t="s">
        <v>26</v>
      </c>
      <c r="E5265" s="5" t="str">
        <f>"9360379"</f>
        <v>9360379</v>
      </c>
      <c r="F5265" s="3" t="s">
        <v>16853</v>
      </c>
      <c r="G5265" s="5">
        <v>2721083453</v>
      </c>
      <c r="H5265" s="4" t="s">
        <v>16854</v>
      </c>
      <c r="I5265" s="4" t="s">
        <v>16721</v>
      </c>
      <c r="J5265" s="4" t="s">
        <v>16725</v>
      </c>
      <c r="K5265" s="4" t="s">
        <v>16855</v>
      </c>
      <c r="L5265" s="5">
        <v>24100</v>
      </c>
    </row>
    <row r="5266" spans="1:12" x14ac:dyDescent="0.25">
      <c r="A5266" s="3" t="s">
        <v>15973</v>
      </c>
      <c r="B5266" s="4" t="s">
        <v>16713</v>
      </c>
      <c r="C5266" s="4" t="s">
        <v>25</v>
      </c>
      <c r="D5266" s="4" t="s">
        <v>26</v>
      </c>
      <c r="E5266" s="5" t="str">
        <f>"9360399"</f>
        <v>9360399</v>
      </c>
      <c r="F5266" s="3" t="s">
        <v>16856</v>
      </c>
      <c r="G5266" s="5">
        <v>2721085321</v>
      </c>
      <c r="H5266" s="4" t="s">
        <v>16857</v>
      </c>
      <c r="I5266" s="4" t="s">
        <v>16721</v>
      </c>
      <c r="J5266" s="4" t="s">
        <v>16725</v>
      </c>
      <c r="K5266" s="4" t="s">
        <v>16858</v>
      </c>
      <c r="L5266" s="5">
        <v>24100</v>
      </c>
    </row>
    <row r="5267" spans="1:12" x14ac:dyDescent="0.25">
      <c r="A5267" s="3" t="s">
        <v>15973</v>
      </c>
      <c r="B5267" s="4" t="s">
        <v>16713</v>
      </c>
      <c r="C5267" s="4" t="s">
        <v>14</v>
      </c>
      <c r="D5267" s="4" t="s">
        <v>15</v>
      </c>
      <c r="E5267" s="5" t="str">
        <f>"9360006"</f>
        <v>9360006</v>
      </c>
      <c r="F5267" s="3" t="s">
        <v>16859</v>
      </c>
      <c r="G5267" s="5">
        <v>2721023152</v>
      </c>
      <c r="H5267" s="4" t="s">
        <v>16860</v>
      </c>
      <c r="I5267" s="4" t="s">
        <v>16721</v>
      </c>
      <c r="J5267" s="4" t="s">
        <v>16725</v>
      </c>
      <c r="K5267" s="4" t="s">
        <v>16861</v>
      </c>
      <c r="L5267" s="5">
        <v>24100</v>
      </c>
    </row>
    <row r="5268" spans="1:12" x14ac:dyDescent="0.25">
      <c r="A5268" s="3" t="s">
        <v>15973</v>
      </c>
      <c r="B5268" s="4" t="s">
        <v>16713</v>
      </c>
      <c r="C5268" s="4" t="s">
        <v>25</v>
      </c>
      <c r="D5268" s="4" t="s">
        <v>26</v>
      </c>
      <c r="E5268" s="5" t="str">
        <f>"9360097"</f>
        <v>9360097</v>
      </c>
      <c r="F5268" s="3" t="s">
        <v>16862</v>
      </c>
      <c r="G5268" s="5">
        <v>2722025804</v>
      </c>
      <c r="H5268" s="4" t="s">
        <v>16863</v>
      </c>
      <c r="I5268" s="4" t="s">
        <v>16716</v>
      </c>
      <c r="J5268" s="4" t="s">
        <v>16717</v>
      </c>
      <c r="K5268" s="4" t="s">
        <v>16864</v>
      </c>
      <c r="L5268" s="5">
        <v>24200</v>
      </c>
    </row>
    <row r="5269" spans="1:12" x14ac:dyDescent="0.25">
      <c r="A5269" s="3" t="s">
        <v>15973</v>
      </c>
      <c r="B5269" s="4" t="s">
        <v>16713</v>
      </c>
      <c r="C5269" s="4" t="s">
        <v>14</v>
      </c>
      <c r="D5269" s="4" t="s">
        <v>15</v>
      </c>
      <c r="E5269" s="5" t="str">
        <f>"9360124"</f>
        <v>9360124</v>
      </c>
      <c r="F5269" s="3" t="s">
        <v>16865</v>
      </c>
      <c r="G5269" s="5">
        <v>2722041463</v>
      </c>
      <c r="H5269" s="4" t="s">
        <v>16866</v>
      </c>
      <c r="I5269" s="4" t="s">
        <v>16716</v>
      </c>
      <c r="J5269" s="4" t="s">
        <v>16867</v>
      </c>
      <c r="K5269" s="4" t="s">
        <v>16868</v>
      </c>
      <c r="L5269" s="5">
        <v>24013</v>
      </c>
    </row>
    <row r="5270" spans="1:12" x14ac:dyDescent="0.25">
      <c r="A5270" s="3" t="s">
        <v>15973</v>
      </c>
      <c r="B5270" s="4" t="s">
        <v>16713</v>
      </c>
      <c r="C5270" s="4" t="s">
        <v>14</v>
      </c>
      <c r="D5270" s="4" t="s">
        <v>15</v>
      </c>
      <c r="E5270" s="5" t="str">
        <f>"9360060"</f>
        <v>9360060</v>
      </c>
      <c r="F5270" s="3" t="s">
        <v>16869</v>
      </c>
      <c r="G5270" s="5">
        <v>2721086685</v>
      </c>
      <c r="H5270" s="4" t="s">
        <v>16870</v>
      </c>
      <c r="I5270" s="4" t="s">
        <v>16721</v>
      </c>
      <c r="J5270" s="4"/>
      <c r="K5270" s="4" t="s">
        <v>16871</v>
      </c>
      <c r="L5270" s="5">
        <v>24100</v>
      </c>
    </row>
    <row r="5271" spans="1:12" x14ac:dyDescent="0.25">
      <c r="A5271" s="3" t="s">
        <v>15973</v>
      </c>
      <c r="B5271" s="4" t="s">
        <v>16713</v>
      </c>
      <c r="C5271" s="4" t="s">
        <v>25</v>
      </c>
      <c r="D5271" s="4" t="s">
        <v>26</v>
      </c>
      <c r="E5271" s="5" t="str">
        <f>"9360028"</f>
        <v>9360028</v>
      </c>
      <c r="F5271" s="3" t="s">
        <v>16872</v>
      </c>
      <c r="G5271" s="5">
        <v>2721082114</v>
      </c>
      <c r="H5271" s="4" t="s">
        <v>16873</v>
      </c>
      <c r="I5271" s="4" t="s">
        <v>16721</v>
      </c>
      <c r="J5271" s="4" t="s">
        <v>16725</v>
      </c>
      <c r="K5271" s="4" t="s">
        <v>16874</v>
      </c>
      <c r="L5271" s="5">
        <v>24100</v>
      </c>
    </row>
    <row r="5272" spans="1:12" x14ac:dyDescent="0.25">
      <c r="A5272" s="3" t="s">
        <v>15973</v>
      </c>
      <c r="B5272" s="4" t="s">
        <v>16713</v>
      </c>
      <c r="C5272" s="4" t="s">
        <v>25</v>
      </c>
      <c r="D5272" s="4" t="s">
        <v>26</v>
      </c>
      <c r="E5272" s="5" t="str">
        <f>"9360380"</f>
        <v>9360380</v>
      </c>
      <c r="F5272" s="3" t="s">
        <v>16875</v>
      </c>
      <c r="G5272" s="5">
        <v>2721021777</v>
      </c>
      <c r="H5272" s="4" t="s">
        <v>16876</v>
      </c>
      <c r="I5272" s="4" t="s">
        <v>16721</v>
      </c>
      <c r="J5272" s="4" t="s">
        <v>16725</v>
      </c>
      <c r="K5272" s="4" t="s">
        <v>16877</v>
      </c>
      <c r="L5272" s="5">
        <v>24134</v>
      </c>
    </row>
    <row r="5273" spans="1:12" x14ac:dyDescent="0.25">
      <c r="A5273" s="3" t="s">
        <v>15973</v>
      </c>
      <c r="B5273" s="4" t="s">
        <v>16713</v>
      </c>
      <c r="C5273" s="4" t="s">
        <v>25</v>
      </c>
      <c r="D5273" s="4" t="s">
        <v>26</v>
      </c>
      <c r="E5273" s="5" t="str">
        <f>"9360023"</f>
        <v>9360023</v>
      </c>
      <c r="F5273" s="3" t="s">
        <v>16878</v>
      </c>
      <c r="G5273" s="5">
        <v>2721089572</v>
      </c>
      <c r="H5273" s="4" t="s">
        <v>16879</v>
      </c>
      <c r="I5273" s="4" t="s">
        <v>16721</v>
      </c>
      <c r="J5273" s="4" t="s">
        <v>16725</v>
      </c>
      <c r="K5273" s="4" t="s">
        <v>16880</v>
      </c>
      <c r="L5273" s="5">
        <v>24100</v>
      </c>
    </row>
    <row r="5274" spans="1:12" x14ac:dyDescent="0.25">
      <c r="A5274" s="3" t="s">
        <v>15973</v>
      </c>
      <c r="B5274" s="4" t="s">
        <v>16713</v>
      </c>
      <c r="C5274" s="4" t="s">
        <v>25</v>
      </c>
      <c r="D5274" s="4" t="s">
        <v>26</v>
      </c>
      <c r="E5274" s="5" t="str">
        <f>"9360148"</f>
        <v>9360148</v>
      </c>
      <c r="F5274" s="3" t="s">
        <v>16881</v>
      </c>
      <c r="G5274" s="5">
        <v>2724180000</v>
      </c>
      <c r="H5274" s="4" t="s">
        <v>16882</v>
      </c>
      <c r="I5274" s="4" t="s">
        <v>16745</v>
      </c>
      <c r="J5274" s="4" t="s">
        <v>16746</v>
      </c>
      <c r="K5274" s="4" t="s">
        <v>16746</v>
      </c>
      <c r="L5274" s="5">
        <v>24002</v>
      </c>
    </row>
    <row r="5275" spans="1:12" x14ac:dyDescent="0.25">
      <c r="A5275" s="3" t="s">
        <v>15973</v>
      </c>
      <c r="B5275" s="4" t="s">
        <v>16713</v>
      </c>
      <c r="C5275" s="4" t="s">
        <v>25</v>
      </c>
      <c r="D5275" s="4" t="s">
        <v>26</v>
      </c>
      <c r="E5275" s="5" t="str">
        <f>"9360443"</f>
        <v>9360443</v>
      </c>
      <c r="F5275" s="3" t="s">
        <v>16883</v>
      </c>
      <c r="G5275" s="5">
        <v>2721081649</v>
      </c>
      <c r="H5275" s="4" t="s">
        <v>16884</v>
      </c>
      <c r="I5275" s="4" t="s">
        <v>16721</v>
      </c>
      <c r="J5275" s="4" t="s">
        <v>16725</v>
      </c>
      <c r="K5275" s="4" t="s">
        <v>16885</v>
      </c>
      <c r="L5275" s="5">
        <v>24100</v>
      </c>
    </row>
    <row r="5276" spans="1:12" x14ac:dyDescent="0.25">
      <c r="A5276" s="3" t="s">
        <v>15973</v>
      </c>
      <c r="B5276" s="4" t="s">
        <v>16713</v>
      </c>
      <c r="C5276" s="4" t="s">
        <v>14</v>
      </c>
      <c r="D5276" s="4" t="s">
        <v>15</v>
      </c>
      <c r="E5276" s="5" t="str">
        <f>"9360096"</f>
        <v>9360096</v>
      </c>
      <c r="F5276" s="3" t="s">
        <v>16886</v>
      </c>
      <c r="G5276" s="5">
        <v>2722022630</v>
      </c>
      <c r="H5276" s="4" t="s">
        <v>16887</v>
      </c>
      <c r="I5276" s="4" t="s">
        <v>16716</v>
      </c>
      <c r="J5276" s="4" t="s">
        <v>16717</v>
      </c>
      <c r="K5276" s="4" t="s">
        <v>16888</v>
      </c>
      <c r="L5276" s="5">
        <v>24200</v>
      </c>
    </row>
    <row r="5277" spans="1:12" x14ac:dyDescent="0.25">
      <c r="A5277" s="3" t="s">
        <v>15973</v>
      </c>
      <c r="B5277" s="4" t="s">
        <v>16713</v>
      </c>
      <c r="C5277" s="4" t="s">
        <v>25</v>
      </c>
      <c r="D5277" s="4" t="s">
        <v>26</v>
      </c>
      <c r="E5277" s="5" t="str">
        <f>"9360397"</f>
        <v>9360397</v>
      </c>
      <c r="F5277" s="3" t="s">
        <v>16889</v>
      </c>
      <c r="G5277" s="5">
        <v>2721093665</v>
      </c>
      <c r="H5277" s="4" t="s">
        <v>16890</v>
      </c>
      <c r="I5277" s="4" t="s">
        <v>16721</v>
      </c>
      <c r="J5277" s="4" t="s">
        <v>16725</v>
      </c>
      <c r="K5277" s="4" t="s">
        <v>16891</v>
      </c>
      <c r="L5277" s="5">
        <v>24100</v>
      </c>
    </row>
    <row r="5278" spans="1:12" x14ac:dyDescent="0.25">
      <c r="A5278" s="3" t="s">
        <v>15973</v>
      </c>
      <c r="B5278" s="4" t="s">
        <v>16713</v>
      </c>
      <c r="C5278" s="4" t="s">
        <v>25</v>
      </c>
      <c r="D5278" s="4" t="s">
        <v>26</v>
      </c>
      <c r="E5278" s="5" t="str">
        <f>"9360382"</f>
        <v>9360382</v>
      </c>
      <c r="F5278" s="3" t="s">
        <v>16892</v>
      </c>
      <c r="G5278" s="5">
        <v>2721052409</v>
      </c>
      <c r="H5278" s="4" t="s">
        <v>16893</v>
      </c>
      <c r="I5278" s="4" t="s">
        <v>16721</v>
      </c>
      <c r="J5278" s="4" t="s">
        <v>16894</v>
      </c>
      <c r="K5278" s="4" t="s">
        <v>16894</v>
      </c>
      <c r="L5278" s="5">
        <v>24009</v>
      </c>
    </row>
    <row r="5279" spans="1:12" x14ac:dyDescent="0.25">
      <c r="A5279" s="3" t="s">
        <v>15973</v>
      </c>
      <c r="B5279" s="4" t="s">
        <v>16713</v>
      </c>
      <c r="C5279" s="4" t="s">
        <v>14</v>
      </c>
      <c r="D5279" s="4" t="s">
        <v>15</v>
      </c>
      <c r="E5279" s="5" t="str">
        <f>"9360041"</f>
        <v>9360041</v>
      </c>
      <c r="F5279" s="3" t="s">
        <v>16895</v>
      </c>
      <c r="G5279" s="5">
        <v>2721051280</v>
      </c>
      <c r="H5279" s="4" t="s">
        <v>16896</v>
      </c>
      <c r="I5279" s="4" t="s">
        <v>16721</v>
      </c>
      <c r="J5279" s="4" t="s">
        <v>16897</v>
      </c>
      <c r="K5279" s="4" t="s">
        <v>16897</v>
      </c>
      <c r="L5279" s="5">
        <v>24009</v>
      </c>
    </row>
    <row r="5280" spans="1:12" x14ac:dyDescent="0.25">
      <c r="A5280" s="3" t="s">
        <v>15973</v>
      </c>
      <c r="B5280" s="4" t="s">
        <v>16713</v>
      </c>
      <c r="C5280" s="4" t="s">
        <v>25</v>
      </c>
      <c r="D5280" s="4" t="s">
        <v>26</v>
      </c>
      <c r="E5280" s="5" t="str">
        <f>"9360003"</f>
        <v>9360003</v>
      </c>
      <c r="F5280" s="3" t="s">
        <v>16898</v>
      </c>
      <c r="G5280" s="5">
        <v>2721023934</v>
      </c>
      <c r="H5280" s="4" t="s">
        <v>16899</v>
      </c>
      <c r="I5280" s="4" t="s">
        <v>16721</v>
      </c>
      <c r="J5280" s="4" t="s">
        <v>16721</v>
      </c>
      <c r="K5280" s="4" t="s">
        <v>16900</v>
      </c>
      <c r="L5280" s="5">
        <v>24100</v>
      </c>
    </row>
    <row r="5281" spans="1:12" x14ac:dyDescent="0.25">
      <c r="A5281" s="3" t="s">
        <v>15973</v>
      </c>
      <c r="B5281" s="4" t="s">
        <v>16713</v>
      </c>
      <c r="C5281" s="4" t="s">
        <v>14</v>
      </c>
      <c r="D5281" s="4" t="s">
        <v>15</v>
      </c>
      <c r="E5281" s="5" t="str">
        <f>"9360008"</f>
        <v>9360008</v>
      </c>
      <c r="F5281" s="3" t="s">
        <v>16901</v>
      </c>
      <c r="G5281" s="5">
        <v>2721025384</v>
      </c>
      <c r="H5281" s="4" t="s">
        <v>16902</v>
      </c>
      <c r="I5281" s="4" t="s">
        <v>16721</v>
      </c>
      <c r="J5281" s="4" t="s">
        <v>16725</v>
      </c>
      <c r="K5281" s="4" t="s">
        <v>16877</v>
      </c>
      <c r="L5281" s="5">
        <v>24100</v>
      </c>
    </row>
    <row r="5282" spans="1:12" x14ac:dyDescent="0.25">
      <c r="A5282" s="3" t="s">
        <v>15973</v>
      </c>
      <c r="B5282" s="4" t="s">
        <v>16713</v>
      </c>
      <c r="C5282" s="4" t="s">
        <v>25</v>
      </c>
      <c r="D5282" s="4" t="s">
        <v>26</v>
      </c>
      <c r="E5282" s="5" t="str">
        <f>"9360393"</f>
        <v>9360393</v>
      </c>
      <c r="F5282" s="3" t="s">
        <v>16903</v>
      </c>
      <c r="G5282" s="5">
        <v>2721086390</v>
      </c>
      <c r="H5282" s="4" t="s">
        <v>16904</v>
      </c>
      <c r="I5282" s="4" t="s">
        <v>16721</v>
      </c>
      <c r="J5282" s="4" t="s">
        <v>16725</v>
      </c>
      <c r="K5282" s="4" t="s">
        <v>16905</v>
      </c>
      <c r="L5282" s="5">
        <v>24100</v>
      </c>
    </row>
    <row r="5283" spans="1:12" x14ac:dyDescent="0.25">
      <c r="A5283" s="3" t="s">
        <v>15973</v>
      </c>
      <c r="B5283" s="4" t="s">
        <v>16713</v>
      </c>
      <c r="C5283" s="4" t="s">
        <v>25</v>
      </c>
      <c r="D5283" s="4" t="s">
        <v>26</v>
      </c>
      <c r="E5283" s="5" t="str">
        <f>"9360015"</f>
        <v>9360015</v>
      </c>
      <c r="F5283" s="3" t="s">
        <v>16906</v>
      </c>
      <c r="G5283" s="5">
        <v>2721021545</v>
      </c>
      <c r="H5283" s="4" t="s">
        <v>16907</v>
      </c>
      <c r="I5283" s="4" t="s">
        <v>16721</v>
      </c>
      <c r="J5283" s="4" t="s">
        <v>16725</v>
      </c>
      <c r="K5283" s="4" t="s">
        <v>16908</v>
      </c>
      <c r="L5283" s="5">
        <v>24100</v>
      </c>
    </row>
    <row r="5284" spans="1:12" x14ac:dyDescent="0.25">
      <c r="A5284" s="3" t="s">
        <v>15973</v>
      </c>
      <c r="B5284" s="4" t="s">
        <v>16713</v>
      </c>
      <c r="C5284" s="4" t="s">
        <v>25</v>
      </c>
      <c r="D5284" s="4" t="s">
        <v>26</v>
      </c>
      <c r="E5284" s="5" t="str">
        <f>"9360396"</f>
        <v>9360396</v>
      </c>
      <c r="F5284" s="3" t="s">
        <v>16909</v>
      </c>
      <c r="G5284" s="5">
        <v>2721086516</v>
      </c>
      <c r="H5284" s="4" t="s">
        <v>16910</v>
      </c>
      <c r="I5284" s="4" t="s">
        <v>16721</v>
      </c>
      <c r="J5284" s="4" t="s">
        <v>16725</v>
      </c>
      <c r="K5284" s="4" t="s">
        <v>16911</v>
      </c>
      <c r="L5284" s="5">
        <v>24100</v>
      </c>
    </row>
    <row r="5285" spans="1:12" x14ac:dyDescent="0.25">
      <c r="A5285" s="3" t="s">
        <v>15973</v>
      </c>
      <c r="B5285" s="4" t="s">
        <v>16713</v>
      </c>
      <c r="C5285" s="4" t="s">
        <v>25</v>
      </c>
      <c r="D5285" s="4" t="s">
        <v>26</v>
      </c>
      <c r="E5285" s="5" t="str">
        <f>"9360026"</f>
        <v>9360026</v>
      </c>
      <c r="F5285" s="3" t="s">
        <v>16912</v>
      </c>
      <c r="G5285" s="5">
        <v>2721023691</v>
      </c>
      <c r="H5285" s="4" t="s">
        <v>16913</v>
      </c>
      <c r="I5285" s="4" t="s">
        <v>16721</v>
      </c>
      <c r="J5285" s="4" t="s">
        <v>16725</v>
      </c>
      <c r="K5285" s="4" t="s">
        <v>16914</v>
      </c>
      <c r="L5285" s="5">
        <v>24100</v>
      </c>
    </row>
    <row r="5286" spans="1:12" x14ac:dyDescent="0.25">
      <c r="A5286" s="3" t="s">
        <v>15973</v>
      </c>
      <c r="B5286" s="4" t="s">
        <v>16713</v>
      </c>
      <c r="C5286" s="4" t="s">
        <v>25</v>
      </c>
      <c r="D5286" s="4" t="s">
        <v>26</v>
      </c>
      <c r="E5286" s="5" t="str">
        <f>"9360286"</f>
        <v>9360286</v>
      </c>
      <c r="F5286" s="3" t="s">
        <v>16915</v>
      </c>
      <c r="G5286" s="5">
        <v>2763023182</v>
      </c>
      <c r="H5286" s="4" t="s">
        <v>16916</v>
      </c>
      <c r="I5286" s="4" t="s">
        <v>16738</v>
      </c>
      <c r="J5286" s="4" t="s">
        <v>16834</v>
      </c>
      <c r="K5286" s="4" t="s">
        <v>408</v>
      </c>
      <c r="L5286" s="5">
        <v>24400</v>
      </c>
    </row>
    <row r="5287" spans="1:12" x14ac:dyDescent="0.25">
      <c r="A5287" s="3" t="s">
        <v>15973</v>
      </c>
      <c r="B5287" s="4" t="s">
        <v>16713</v>
      </c>
      <c r="C5287" s="4" t="s">
        <v>25</v>
      </c>
      <c r="D5287" s="4" t="s">
        <v>26</v>
      </c>
      <c r="E5287" s="5" t="str">
        <f>"9360457"</f>
        <v>9360457</v>
      </c>
      <c r="F5287" s="3" t="s">
        <v>16917</v>
      </c>
      <c r="G5287" s="5">
        <v>2763022406</v>
      </c>
      <c r="H5287" s="4" t="s">
        <v>16918</v>
      </c>
      <c r="I5287" s="4" t="s">
        <v>16738</v>
      </c>
      <c r="J5287" s="4" t="s">
        <v>16834</v>
      </c>
      <c r="K5287" s="4" t="s">
        <v>16835</v>
      </c>
      <c r="L5287" s="5">
        <v>24400</v>
      </c>
    </row>
    <row r="5288" spans="1:12" x14ac:dyDescent="0.25">
      <c r="A5288" s="3" t="s">
        <v>15973</v>
      </c>
      <c r="B5288" s="4" t="s">
        <v>16713</v>
      </c>
      <c r="C5288" s="4" t="s">
        <v>25</v>
      </c>
      <c r="D5288" s="4" t="s">
        <v>26</v>
      </c>
      <c r="E5288" s="5" t="str">
        <f>"9360383"</f>
        <v>9360383</v>
      </c>
      <c r="F5288" s="3" t="s">
        <v>16919</v>
      </c>
      <c r="G5288" s="5">
        <v>2761032732</v>
      </c>
      <c r="H5288" s="4" t="s">
        <v>16920</v>
      </c>
      <c r="I5288" s="4" t="s">
        <v>16738</v>
      </c>
      <c r="J5288" s="4" t="s">
        <v>16773</v>
      </c>
      <c r="K5288" s="4" t="s">
        <v>16921</v>
      </c>
      <c r="L5288" s="5">
        <v>24300</v>
      </c>
    </row>
    <row r="5289" spans="1:12" x14ac:dyDescent="0.25">
      <c r="A5289" s="3" t="s">
        <v>15973</v>
      </c>
      <c r="B5289" s="4" t="s">
        <v>16713</v>
      </c>
      <c r="C5289" s="4" t="s">
        <v>25</v>
      </c>
      <c r="D5289" s="4" t="s">
        <v>26</v>
      </c>
      <c r="E5289" s="5" t="str">
        <f>"9360431"</f>
        <v>9360431</v>
      </c>
      <c r="F5289" s="3" t="s">
        <v>16922</v>
      </c>
      <c r="G5289" s="5">
        <v>2721097397</v>
      </c>
      <c r="H5289" s="4" t="s">
        <v>16923</v>
      </c>
      <c r="I5289" s="4" t="s">
        <v>16721</v>
      </c>
      <c r="J5289" s="4" t="s">
        <v>16924</v>
      </c>
      <c r="K5289" s="4" t="s">
        <v>16924</v>
      </c>
      <c r="L5289" s="5">
        <v>24100</v>
      </c>
    </row>
    <row r="5290" spans="1:12" x14ac:dyDescent="0.25">
      <c r="A5290" s="3" t="s">
        <v>15973</v>
      </c>
      <c r="B5290" s="4" t="s">
        <v>16713</v>
      </c>
      <c r="C5290" s="4" t="s">
        <v>14</v>
      </c>
      <c r="D5290" s="4" t="s">
        <v>15</v>
      </c>
      <c r="E5290" s="5" t="str">
        <f>"9360083"</f>
        <v>9360083</v>
      </c>
      <c r="F5290" s="3" t="s">
        <v>16925</v>
      </c>
      <c r="G5290" s="5">
        <v>2721052216</v>
      </c>
      <c r="H5290" s="4" t="s">
        <v>16926</v>
      </c>
      <c r="I5290" s="4" t="s">
        <v>16721</v>
      </c>
      <c r="J5290" s="4" t="s">
        <v>16894</v>
      </c>
      <c r="K5290" s="4" t="s">
        <v>16927</v>
      </c>
      <c r="L5290" s="5">
        <v>24009</v>
      </c>
    </row>
    <row r="5291" spans="1:12" x14ac:dyDescent="0.25">
      <c r="A5291" s="3" t="s">
        <v>15973</v>
      </c>
      <c r="B5291" s="4" t="s">
        <v>16713</v>
      </c>
      <c r="C5291" s="4" t="s">
        <v>14</v>
      </c>
      <c r="D5291" s="4" t="s">
        <v>15</v>
      </c>
      <c r="E5291" s="5" t="str">
        <f>"9360450"</f>
        <v>9360450</v>
      </c>
      <c r="F5291" s="3" t="s">
        <v>16928</v>
      </c>
      <c r="G5291" s="5">
        <v>2723022681</v>
      </c>
      <c r="H5291" s="4" t="s">
        <v>16929</v>
      </c>
      <c r="I5291" s="4" t="s">
        <v>16758</v>
      </c>
      <c r="J5291" s="4" t="s">
        <v>16821</v>
      </c>
      <c r="K5291" s="4" t="s">
        <v>16821</v>
      </c>
      <c r="L5291" s="5">
        <v>24001</v>
      </c>
    </row>
    <row r="5292" spans="1:12" x14ac:dyDescent="0.25">
      <c r="A5292" s="3" t="s">
        <v>15973</v>
      </c>
      <c r="B5292" s="4" t="s">
        <v>16713</v>
      </c>
      <c r="C5292" s="4" t="s">
        <v>14</v>
      </c>
      <c r="D5292" s="4" t="s">
        <v>15</v>
      </c>
      <c r="E5292" s="5" t="str">
        <f>"9360177"</f>
        <v>9360177</v>
      </c>
      <c r="F5292" s="3" t="s">
        <v>16930</v>
      </c>
      <c r="G5292" s="5">
        <v>2723180000</v>
      </c>
      <c r="H5292" s="4" t="s">
        <v>16931</v>
      </c>
      <c r="I5292" s="4" t="s">
        <v>16758</v>
      </c>
      <c r="J5292" s="4" t="s">
        <v>16821</v>
      </c>
      <c r="K5292" s="4" t="s">
        <v>16821</v>
      </c>
      <c r="L5292" s="5">
        <v>24001</v>
      </c>
    </row>
    <row r="5293" spans="1:12" x14ac:dyDescent="0.25">
      <c r="A5293" s="3" t="s">
        <v>15973</v>
      </c>
      <c r="B5293" s="4" t="s">
        <v>16713</v>
      </c>
      <c r="C5293" s="4" t="s">
        <v>14</v>
      </c>
      <c r="D5293" s="4" t="s">
        <v>15</v>
      </c>
      <c r="E5293" s="5" t="str">
        <f>"9360268"</f>
        <v>9360268</v>
      </c>
      <c r="F5293" s="3" t="s">
        <v>16932</v>
      </c>
      <c r="G5293" s="5">
        <v>2763031202</v>
      </c>
      <c r="H5293" s="4" t="s">
        <v>16933</v>
      </c>
      <c r="I5293" s="4" t="s">
        <v>16758</v>
      </c>
      <c r="J5293" s="4" t="s">
        <v>6729</v>
      </c>
      <c r="K5293" s="4" t="s">
        <v>16934</v>
      </c>
      <c r="L5293" s="5">
        <v>24001</v>
      </c>
    </row>
    <row r="5294" spans="1:12" x14ac:dyDescent="0.25">
      <c r="A5294" s="3" t="s">
        <v>15973</v>
      </c>
      <c r="B5294" s="4" t="s">
        <v>16713</v>
      </c>
      <c r="C5294" s="4" t="s">
        <v>25</v>
      </c>
      <c r="D5294" s="4" t="s">
        <v>26</v>
      </c>
      <c r="E5294" s="5" t="str">
        <f>"9360398"</f>
        <v>9360398</v>
      </c>
      <c r="F5294" s="3" t="s">
        <v>16935</v>
      </c>
      <c r="G5294" s="5">
        <v>2721088141</v>
      </c>
      <c r="H5294" s="4" t="s">
        <v>16936</v>
      </c>
      <c r="I5294" s="4" t="s">
        <v>16721</v>
      </c>
      <c r="J5294" s="4" t="s">
        <v>16725</v>
      </c>
      <c r="K5294" s="4" t="s">
        <v>16937</v>
      </c>
      <c r="L5294" s="5">
        <v>24100</v>
      </c>
    </row>
    <row r="5295" spans="1:12" x14ac:dyDescent="0.25">
      <c r="A5295" s="3" t="s">
        <v>15973</v>
      </c>
      <c r="B5295" s="4" t="s">
        <v>16713</v>
      </c>
      <c r="C5295" s="4" t="s">
        <v>14</v>
      </c>
      <c r="D5295" s="4" t="s">
        <v>15</v>
      </c>
      <c r="E5295" s="5" t="str">
        <f>"9360239"</f>
        <v>9360239</v>
      </c>
      <c r="F5295" s="3" t="s">
        <v>16938</v>
      </c>
      <c r="G5295" s="5">
        <v>2722031220</v>
      </c>
      <c r="H5295" s="4" t="s">
        <v>16939</v>
      </c>
      <c r="I5295" s="4" t="s">
        <v>16716</v>
      </c>
      <c r="J5295" s="4" t="s">
        <v>16940</v>
      </c>
      <c r="K5295" s="4" t="s">
        <v>16940</v>
      </c>
      <c r="L5295" s="5">
        <v>24005</v>
      </c>
    </row>
    <row r="5296" spans="1:12" x14ac:dyDescent="0.25">
      <c r="A5296" s="3" t="s">
        <v>15973</v>
      </c>
      <c r="B5296" s="4" t="s">
        <v>16713</v>
      </c>
      <c r="C5296" s="4" t="s">
        <v>14</v>
      </c>
      <c r="D5296" s="4" t="s">
        <v>15</v>
      </c>
      <c r="E5296" s="5" t="str">
        <f>"9360012"</f>
        <v>9360012</v>
      </c>
      <c r="F5296" s="3" t="s">
        <v>16941</v>
      </c>
      <c r="G5296" s="5">
        <v>2721025064</v>
      </c>
      <c r="H5296" s="4" t="s">
        <v>16942</v>
      </c>
      <c r="I5296" s="4" t="s">
        <v>16721</v>
      </c>
      <c r="J5296" s="4" t="s">
        <v>16725</v>
      </c>
      <c r="K5296" s="4" t="s">
        <v>16943</v>
      </c>
      <c r="L5296" s="5">
        <v>24100</v>
      </c>
    </row>
    <row r="5297" spans="1:12" x14ac:dyDescent="0.25">
      <c r="A5297" s="3" t="s">
        <v>15973</v>
      </c>
      <c r="B5297" s="4" t="s">
        <v>16713</v>
      </c>
      <c r="C5297" s="4" t="s">
        <v>14</v>
      </c>
      <c r="D5297" s="4" t="s">
        <v>15</v>
      </c>
      <c r="E5297" s="5" t="str">
        <f>"9360253"</f>
        <v>9360253</v>
      </c>
      <c r="F5297" s="3" t="s">
        <v>16944</v>
      </c>
      <c r="G5297" s="5">
        <v>2723051400</v>
      </c>
      <c r="H5297" s="4" t="s">
        <v>16945</v>
      </c>
      <c r="I5297" s="4" t="s">
        <v>16758</v>
      </c>
      <c r="J5297" s="4" t="s">
        <v>16946</v>
      </c>
      <c r="K5297" s="4" t="s">
        <v>16947</v>
      </c>
      <c r="L5297" s="5">
        <v>24001</v>
      </c>
    </row>
    <row r="5298" spans="1:12" x14ac:dyDescent="0.25">
      <c r="A5298" s="3" t="s">
        <v>15973</v>
      </c>
      <c r="B5298" s="4" t="s">
        <v>16713</v>
      </c>
      <c r="C5298" s="4" t="s">
        <v>14</v>
      </c>
      <c r="D5298" s="4" t="s">
        <v>15</v>
      </c>
      <c r="E5298" s="5" t="str">
        <f>"9360013"</f>
        <v>9360013</v>
      </c>
      <c r="F5298" s="3" t="s">
        <v>16948</v>
      </c>
      <c r="G5298" s="5">
        <v>2721026170</v>
      </c>
      <c r="H5298" s="4" t="s">
        <v>16949</v>
      </c>
      <c r="I5298" s="4" t="s">
        <v>16721</v>
      </c>
      <c r="J5298" s="4" t="s">
        <v>16725</v>
      </c>
      <c r="K5298" s="4" t="s">
        <v>16950</v>
      </c>
      <c r="L5298" s="5">
        <v>24100</v>
      </c>
    </row>
    <row r="5299" spans="1:12" x14ac:dyDescent="0.25">
      <c r="A5299" s="3" t="s">
        <v>15973</v>
      </c>
      <c r="B5299" s="4" t="s">
        <v>16713</v>
      </c>
      <c r="C5299" s="4" t="s">
        <v>14</v>
      </c>
      <c r="D5299" s="4" t="s">
        <v>15</v>
      </c>
      <c r="E5299" s="5" t="str">
        <f>"9360408"</f>
        <v>9360408</v>
      </c>
      <c r="F5299" s="3" t="s">
        <v>16951</v>
      </c>
      <c r="G5299" s="5">
        <v>2721021332</v>
      </c>
      <c r="H5299" s="4" t="s">
        <v>16952</v>
      </c>
      <c r="I5299" s="4" t="s">
        <v>16721</v>
      </c>
      <c r="J5299" s="4" t="s">
        <v>16725</v>
      </c>
      <c r="K5299" s="4" t="s">
        <v>16953</v>
      </c>
      <c r="L5299" s="5">
        <v>24100</v>
      </c>
    </row>
    <row r="5300" spans="1:12" x14ac:dyDescent="0.25">
      <c r="A5300" s="3" t="s">
        <v>15973</v>
      </c>
      <c r="B5300" s="4" t="s">
        <v>16713</v>
      </c>
      <c r="C5300" s="4" t="s">
        <v>14</v>
      </c>
      <c r="D5300" s="4" t="s">
        <v>15</v>
      </c>
      <c r="E5300" s="5" t="str">
        <f>"9360073"</f>
        <v>9360073</v>
      </c>
      <c r="F5300" s="3" t="s">
        <v>16954</v>
      </c>
      <c r="G5300" s="5">
        <v>2721032645</v>
      </c>
      <c r="H5300" s="4" t="s">
        <v>16955</v>
      </c>
      <c r="I5300" s="4" t="s">
        <v>16721</v>
      </c>
      <c r="J5300" s="4"/>
      <c r="K5300" s="4" t="s">
        <v>16956</v>
      </c>
      <c r="L5300" s="5">
        <v>24100</v>
      </c>
    </row>
    <row r="5301" spans="1:12" x14ac:dyDescent="0.25">
      <c r="A5301" s="3" t="s">
        <v>15973</v>
      </c>
      <c r="B5301" s="4" t="s">
        <v>16713</v>
      </c>
      <c r="C5301" s="4" t="s">
        <v>14</v>
      </c>
      <c r="D5301" s="4" t="s">
        <v>15</v>
      </c>
      <c r="E5301" s="5" t="str">
        <f>"9360022"</f>
        <v>9360022</v>
      </c>
      <c r="F5301" s="3" t="s">
        <v>16957</v>
      </c>
      <c r="G5301" s="5">
        <v>2721082015</v>
      </c>
      <c r="H5301" s="4" t="s">
        <v>16958</v>
      </c>
      <c r="I5301" s="4" t="s">
        <v>16721</v>
      </c>
      <c r="J5301" s="4" t="s">
        <v>16959</v>
      </c>
      <c r="K5301" s="4" t="s">
        <v>16960</v>
      </c>
      <c r="L5301" s="5">
        <v>24131</v>
      </c>
    </row>
    <row r="5302" spans="1:12" x14ac:dyDescent="0.25">
      <c r="A5302" s="3" t="s">
        <v>15973</v>
      </c>
      <c r="B5302" s="4" t="s">
        <v>16713</v>
      </c>
      <c r="C5302" s="4" t="s">
        <v>14</v>
      </c>
      <c r="D5302" s="4" t="s">
        <v>15</v>
      </c>
      <c r="E5302" s="5" t="str">
        <f>"9360031"</f>
        <v>9360031</v>
      </c>
      <c r="F5302" s="3" t="s">
        <v>16961</v>
      </c>
      <c r="G5302" s="5">
        <v>2721025406</v>
      </c>
      <c r="H5302" s="4" t="s">
        <v>16962</v>
      </c>
      <c r="I5302" s="4" t="s">
        <v>16721</v>
      </c>
      <c r="J5302" s="4" t="s">
        <v>16725</v>
      </c>
      <c r="K5302" s="4" t="s">
        <v>16963</v>
      </c>
      <c r="L5302" s="5">
        <v>24100</v>
      </c>
    </row>
    <row r="5303" spans="1:12" x14ac:dyDescent="0.25">
      <c r="A5303" s="3" t="s">
        <v>15973</v>
      </c>
      <c r="B5303" s="4" t="s">
        <v>16713</v>
      </c>
      <c r="C5303" s="4" t="s">
        <v>14</v>
      </c>
      <c r="D5303" s="4" t="s">
        <v>15</v>
      </c>
      <c r="E5303" s="5" t="str">
        <f>"9360019"</f>
        <v>9360019</v>
      </c>
      <c r="F5303" s="3" t="s">
        <v>16964</v>
      </c>
      <c r="G5303" s="5">
        <v>2721026066</v>
      </c>
      <c r="H5303" s="4" t="s">
        <v>16965</v>
      </c>
      <c r="I5303" s="4" t="s">
        <v>16721</v>
      </c>
      <c r="J5303" s="4" t="s">
        <v>16725</v>
      </c>
      <c r="K5303" s="4" t="s">
        <v>16966</v>
      </c>
      <c r="L5303" s="5">
        <v>24100</v>
      </c>
    </row>
    <row r="5304" spans="1:12" x14ac:dyDescent="0.25">
      <c r="A5304" s="3" t="s">
        <v>15973</v>
      </c>
      <c r="B5304" s="4" t="s">
        <v>16713</v>
      </c>
      <c r="C5304" s="4" t="s">
        <v>25</v>
      </c>
      <c r="D5304" s="4" t="s">
        <v>26</v>
      </c>
      <c r="E5304" s="5" t="str">
        <f>"9521270"</f>
        <v>9521270</v>
      </c>
      <c r="F5304" s="3" t="s">
        <v>16967</v>
      </c>
      <c r="G5304" s="5">
        <v>2722045255</v>
      </c>
      <c r="H5304" s="4" t="s">
        <v>16968</v>
      </c>
      <c r="I5304" s="4" t="s">
        <v>16721</v>
      </c>
      <c r="J5304" s="4" t="s">
        <v>16969</v>
      </c>
      <c r="K5304" s="4" t="s">
        <v>16970</v>
      </c>
      <c r="L5304" s="5">
        <v>24100</v>
      </c>
    </row>
    <row r="5305" spans="1:12" x14ac:dyDescent="0.25">
      <c r="A5305" s="3" t="s">
        <v>16971</v>
      </c>
      <c r="B5305" s="4" t="s">
        <v>16972</v>
      </c>
      <c r="C5305" s="4" t="s">
        <v>25</v>
      </c>
      <c r="D5305" s="4" t="s">
        <v>26</v>
      </c>
      <c r="E5305" s="5" t="str">
        <f>"9070225"</f>
        <v>9070225</v>
      </c>
      <c r="F5305" s="3" t="s">
        <v>16973</v>
      </c>
      <c r="G5305" s="5">
        <v>2261351509</v>
      </c>
      <c r="H5305" s="4" t="s">
        <v>16974</v>
      </c>
      <c r="I5305" s="4" t="s">
        <v>16975</v>
      </c>
      <c r="J5305" s="4" t="s">
        <v>16976</v>
      </c>
      <c r="K5305" s="4" t="s">
        <v>16977</v>
      </c>
      <c r="L5305" s="5">
        <v>32100</v>
      </c>
    </row>
    <row r="5306" spans="1:12" x14ac:dyDescent="0.25">
      <c r="A5306" s="3" t="s">
        <v>16971</v>
      </c>
      <c r="B5306" s="4" t="s">
        <v>16972</v>
      </c>
      <c r="C5306" s="4" t="s">
        <v>25</v>
      </c>
      <c r="D5306" s="4" t="s">
        <v>26</v>
      </c>
      <c r="E5306" s="5" t="str">
        <f>"9070273"</f>
        <v>9070273</v>
      </c>
      <c r="F5306" s="3" t="s">
        <v>16978</v>
      </c>
      <c r="G5306" s="5">
        <v>2261026471</v>
      </c>
      <c r="H5306" s="4" t="s">
        <v>16979</v>
      </c>
      <c r="I5306" s="4" t="s">
        <v>16975</v>
      </c>
      <c r="J5306" s="4" t="s">
        <v>16976</v>
      </c>
      <c r="K5306" s="4" t="s">
        <v>16980</v>
      </c>
      <c r="L5306" s="5">
        <v>32131</v>
      </c>
    </row>
    <row r="5307" spans="1:12" x14ac:dyDescent="0.25">
      <c r="A5307" s="3" t="s">
        <v>16971</v>
      </c>
      <c r="B5307" s="4" t="s">
        <v>16972</v>
      </c>
      <c r="C5307" s="4" t="s">
        <v>25</v>
      </c>
      <c r="D5307" s="4" t="s">
        <v>26</v>
      </c>
      <c r="E5307" s="5" t="str">
        <f>"9070252"</f>
        <v>9070252</v>
      </c>
      <c r="F5307" s="3" t="s">
        <v>16981</v>
      </c>
      <c r="G5307" s="5">
        <v>2261022933</v>
      </c>
      <c r="H5307" s="4" t="s">
        <v>16982</v>
      </c>
      <c r="I5307" s="4" t="s">
        <v>16975</v>
      </c>
      <c r="J5307" s="4" t="s">
        <v>16976</v>
      </c>
      <c r="K5307" s="4" t="s">
        <v>16983</v>
      </c>
      <c r="L5307" s="5">
        <v>32100</v>
      </c>
    </row>
    <row r="5308" spans="1:12" x14ac:dyDescent="0.25">
      <c r="A5308" s="3" t="s">
        <v>16971</v>
      </c>
      <c r="B5308" s="4" t="s">
        <v>16972</v>
      </c>
      <c r="C5308" s="4" t="s">
        <v>25</v>
      </c>
      <c r="D5308" s="4" t="s">
        <v>26</v>
      </c>
      <c r="E5308" s="5" t="str">
        <f>"9070226"</f>
        <v>9070226</v>
      </c>
      <c r="F5308" s="3" t="s">
        <v>16984</v>
      </c>
      <c r="G5308" s="5">
        <v>2261032556</v>
      </c>
      <c r="H5308" s="4" t="s">
        <v>16985</v>
      </c>
      <c r="I5308" s="4" t="s">
        <v>16986</v>
      </c>
      <c r="J5308" s="4" t="s">
        <v>16986</v>
      </c>
      <c r="K5308" s="4" t="s">
        <v>16987</v>
      </c>
      <c r="L5308" s="5">
        <v>32300</v>
      </c>
    </row>
    <row r="5309" spans="1:12" x14ac:dyDescent="0.25">
      <c r="A5309" s="3" t="s">
        <v>16971</v>
      </c>
      <c r="B5309" s="4" t="s">
        <v>16972</v>
      </c>
      <c r="C5309" s="4" t="s">
        <v>14</v>
      </c>
      <c r="D5309" s="4" t="s">
        <v>15</v>
      </c>
      <c r="E5309" s="5" t="str">
        <f>"9070007"</f>
        <v>9070007</v>
      </c>
      <c r="F5309" s="3" t="s">
        <v>16988</v>
      </c>
      <c r="G5309" s="5">
        <v>2262029340</v>
      </c>
      <c r="H5309" s="4" t="s">
        <v>16989</v>
      </c>
      <c r="I5309" s="4" t="s">
        <v>16990</v>
      </c>
      <c r="J5309" s="4" t="s">
        <v>16991</v>
      </c>
      <c r="K5309" s="4" t="s">
        <v>16992</v>
      </c>
      <c r="L5309" s="5">
        <v>32200</v>
      </c>
    </row>
    <row r="5310" spans="1:12" x14ac:dyDescent="0.25">
      <c r="A5310" s="3" t="s">
        <v>16971</v>
      </c>
      <c r="B5310" s="4" t="s">
        <v>16972</v>
      </c>
      <c r="C5310" s="4" t="s">
        <v>14</v>
      </c>
      <c r="D5310" s="4" t="s">
        <v>15</v>
      </c>
      <c r="E5310" s="5" t="str">
        <f>"9070075"</f>
        <v>9070075</v>
      </c>
      <c r="F5310" s="3" t="s">
        <v>16993</v>
      </c>
      <c r="G5310" s="5">
        <v>2261029405</v>
      </c>
      <c r="H5310" s="4" t="s">
        <v>16994</v>
      </c>
      <c r="I5310" s="4" t="s">
        <v>16975</v>
      </c>
      <c r="J5310" s="4" t="s">
        <v>16995</v>
      </c>
      <c r="K5310" s="4" t="s">
        <v>16996</v>
      </c>
      <c r="L5310" s="5">
        <v>32131</v>
      </c>
    </row>
    <row r="5311" spans="1:12" x14ac:dyDescent="0.25">
      <c r="A5311" s="3" t="s">
        <v>16971</v>
      </c>
      <c r="B5311" s="4" t="s">
        <v>16972</v>
      </c>
      <c r="C5311" s="4" t="s">
        <v>14</v>
      </c>
      <c r="D5311" s="4" t="s">
        <v>15</v>
      </c>
      <c r="E5311" s="5" t="str">
        <f>"9070011"</f>
        <v>9070011</v>
      </c>
      <c r="F5311" s="3" t="s">
        <v>16997</v>
      </c>
      <c r="G5311" s="5">
        <v>2262029765</v>
      </c>
      <c r="H5311" s="4" t="s">
        <v>16998</v>
      </c>
      <c r="I5311" s="4" t="s">
        <v>16990</v>
      </c>
      <c r="J5311" s="4" t="s">
        <v>16999</v>
      </c>
      <c r="K5311" s="4" t="s">
        <v>17000</v>
      </c>
      <c r="L5311" s="5">
        <v>32200</v>
      </c>
    </row>
    <row r="5312" spans="1:12" x14ac:dyDescent="0.25">
      <c r="A5312" s="3" t="s">
        <v>16971</v>
      </c>
      <c r="B5312" s="4" t="s">
        <v>16972</v>
      </c>
      <c r="C5312" s="4" t="s">
        <v>14</v>
      </c>
      <c r="D5312" s="4" t="s">
        <v>15</v>
      </c>
      <c r="E5312" s="5" t="str">
        <f>"9070059"</f>
        <v>9070059</v>
      </c>
      <c r="F5312" s="3" t="s">
        <v>17001</v>
      </c>
      <c r="G5312" s="5">
        <v>2262058337</v>
      </c>
      <c r="H5312" s="4" t="s">
        <v>17002</v>
      </c>
      <c r="I5312" s="4" t="s">
        <v>17003</v>
      </c>
      <c r="J5312" s="4" t="s">
        <v>17004</v>
      </c>
      <c r="K5312" s="4" t="s">
        <v>17005</v>
      </c>
      <c r="L5312" s="5">
        <v>32009</v>
      </c>
    </row>
    <row r="5313" spans="1:12" x14ac:dyDescent="0.25">
      <c r="A5313" s="3" t="s">
        <v>16971</v>
      </c>
      <c r="B5313" s="4" t="s">
        <v>16972</v>
      </c>
      <c r="C5313" s="4" t="s">
        <v>25</v>
      </c>
      <c r="D5313" s="4" t="s">
        <v>26</v>
      </c>
      <c r="E5313" s="5" t="str">
        <f>"9070250"</f>
        <v>9070250</v>
      </c>
      <c r="F5313" s="3" t="s">
        <v>17006</v>
      </c>
      <c r="G5313" s="5">
        <v>2262350309</v>
      </c>
      <c r="H5313" s="4" t="s">
        <v>17007</v>
      </c>
      <c r="I5313" s="4" t="s">
        <v>16990</v>
      </c>
      <c r="J5313" s="4" t="s">
        <v>17008</v>
      </c>
      <c r="K5313" s="4" t="s">
        <v>17009</v>
      </c>
      <c r="L5313" s="5">
        <v>32200</v>
      </c>
    </row>
    <row r="5314" spans="1:12" x14ac:dyDescent="0.25">
      <c r="A5314" s="3" t="s">
        <v>16971</v>
      </c>
      <c r="B5314" s="4" t="s">
        <v>16972</v>
      </c>
      <c r="C5314" s="4" t="s">
        <v>25</v>
      </c>
      <c r="D5314" s="4" t="s">
        <v>26</v>
      </c>
      <c r="E5314" s="5" t="str">
        <f>"9070224"</f>
        <v>9070224</v>
      </c>
      <c r="F5314" s="3" t="s">
        <v>17010</v>
      </c>
      <c r="G5314" s="5">
        <v>2261351540</v>
      </c>
      <c r="H5314" s="4" t="s">
        <v>17011</v>
      </c>
      <c r="I5314" s="4" t="s">
        <v>16975</v>
      </c>
      <c r="J5314" s="4" t="s">
        <v>16995</v>
      </c>
      <c r="K5314" s="4" t="s">
        <v>17012</v>
      </c>
      <c r="L5314" s="5">
        <v>32131</v>
      </c>
    </row>
    <row r="5315" spans="1:12" x14ac:dyDescent="0.25">
      <c r="A5315" s="3" t="s">
        <v>16971</v>
      </c>
      <c r="B5315" s="4" t="s">
        <v>16972</v>
      </c>
      <c r="C5315" s="4" t="s">
        <v>25</v>
      </c>
      <c r="D5315" s="4" t="s">
        <v>26</v>
      </c>
      <c r="E5315" s="5" t="str">
        <f>"9070241"</f>
        <v>9070241</v>
      </c>
      <c r="F5315" s="3" t="s">
        <v>17013</v>
      </c>
      <c r="G5315" s="5">
        <v>2261026054</v>
      </c>
      <c r="H5315" s="4" t="s">
        <v>17014</v>
      </c>
      <c r="I5315" s="4" t="s">
        <v>16975</v>
      </c>
      <c r="J5315" s="4" t="s">
        <v>16976</v>
      </c>
      <c r="K5315" s="4" t="s">
        <v>17015</v>
      </c>
      <c r="L5315" s="5">
        <v>32100</v>
      </c>
    </row>
    <row r="5316" spans="1:12" x14ac:dyDescent="0.25">
      <c r="A5316" s="3" t="s">
        <v>16971</v>
      </c>
      <c r="B5316" s="4" t="s">
        <v>16972</v>
      </c>
      <c r="C5316" s="4" t="s">
        <v>14</v>
      </c>
      <c r="D5316" s="4" t="s">
        <v>15</v>
      </c>
      <c r="E5316" s="5" t="str">
        <f>"9070057"</f>
        <v>9070057</v>
      </c>
      <c r="F5316" s="3" t="s">
        <v>17016</v>
      </c>
      <c r="G5316" s="5">
        <v>2263031253</v>
      </c>
      <c r="H5316" s="4" t="s">
        <v>17017</v>
      </c>
      <c r="I5316" s="4" t="s">
        <v>17003</v>
      </c>
      <c r="J5316" s="4" t="s">
        <v>17018</v>
      </c>
      <c r="K5316" s="4" t="s">
        <v>17018</v>
      </c>
      <c r="L5316" s="5">
        <v>32009</v>
      </c>
    </row>
    <row r="5317" spans="1:12" x14ac:dyDescent="0.25">
      <c r="A5317" s="3" t="s">
        <v>16971</v>
      </c>
      <c r="B5317" s="4" t="s">
        <v>16972</v>
      </c>
      <c r="C5317" s="4" t="s">
        <v>14</v>
      </c>
      <c r="D5317" s="4" t="s">
        <v>15</v>
      </c>
      <c r="E5317" s="5" t="str">
        <f>"9070008"</f>
        <v>9070008</v>
      </c>
      <c r="F5317" s="3" t="s">
        <v>17019</v>
      </c>
      <c r="G5317" s="5">
        <v>2262029063</v>
      </c>
      <c r="H5317" s="4" t="s">
        <v>17020</v>
      </c>
      <c r="I5317" s="4" t="s">
        <v>16990</v>
      </c>
      <c r="J5317" s="4" t="s">
        <v>16991</v>
      </c>
      <c r="K5317" s="4" t="s">
        <v>17021</v>
      </c>
      <c r="L5317" s="5">
        <v>32200</v>
      </c>
    </row>
    <row r="5318" spans="1:12" x14ac:dyDescent="0.25">
      <c r="A5318" s="3" t="s">
        <v>16971</v>
      </c>
      <c r="B5318" s="4" t="s">
        <v>16972</v>
      </c>
      <c r="C5318" s="4" t="s">
        <v>14</v>
      </c>
      <c r="D5318" s="4" t="s">
        <v>15</v>
      </c>
      <c r="E5318" s="5" t="str">
        <f>"9070292"</f>
        <v>9070292</v>
      </c>
      <c r="F5318" s="3" t="s">
        <v>17022</v>
      </c>
      <c r="G5318" s="5">
        <v>2262027361</v>
      </c>
      <c r="H5318" s="4" t="s">
        <v>17023</v>
      </c>
      <c r="I5318" s="4" t="s">
        <v>16990</v>
      </c>
      <c r="J5318" s="4" t="s">
        <v>16999</v>
      </c>
      <c r="K5318" s="4" t="s">
        <v>17009</v>
      </c>
      <c r="L5318" s="5">
        <v>32200</v>
      </c>
    </row>
    <row r="5319" spans="1:12" x14ac:dyDescent="0.25">
      <c r="A5319" s="3" t="s">
        <v>16971</v>
      </c>
      <c r="B5319" s="4" t="s">
        <v>16972</v>
      </c>
      <c r="C5319" s="4" t="s">
        <v>14</v>
      </c>
      <c r="D5319" s="4" t="s">
        <v>15</v>
      </c>
      <c r="E5319" s="5" t="str">
        <f>"9070077"</f>
        <v>9070077</v>
      </c>
      <c r="F5319" s="3" t="s">
        <v>17024</v>
      </c>
      <c r="G5319" s="5">
        <v>2261029181</v>
      </c>
      <c r="H5319" s="4" t="s">
        <v>17025</v>
      </c>
      <c r="I5319" s="4" t="s">
        <v>16975</v>
      </c>
      <c r="J5319" s="4" t="s">
        <v>16995</v>
      </c>
      <c r="K5319" s="4" t="s">
        <v>17026</v>
      </c>
      <c r="L5319" s="5">
        <v>32131</v>
      </c>
    </row>
    <row r="5320" spans="1:12" x14ac:dyDescent="0.25">
      <c r="A5320" s="3" t="s">
        <v>16971</v>
      </c>
      <c r="B5320" s="4" t="s">
        <v>16972</v>
      </c>
      <c r="C5320" s="4" t="s">
        <v>14</v>
      </c>
      <c r="D5320" s="4" t="s">
        <v>15</v>
      </c>
      <c r="E5320" s="5" t="str">
        <f>"9070076"</f>
        <v>9070076</v>
      </c>
      <c r="F5320" s="3" t="s">
        <v>17027</v>
      </c>
      <c r="G5320" s="5">
        <v>2261029536</v>
      </c>
      <c r="H5320" s="4" t="s">
        <v>17028</v>
      </c>
      <c r="I5320" s="4" t="s">
        <v>16975</v>
      </c>
      <c r="J5320" s="4" t="s">
        <v>16995</v>
      </c>
      <c r="K5320" s="4" t="s">
        <v>17029</v>
      </c>
      <c r="L5320" s="5">
        <v>32131</v>
      </c>
    </row>
    <row r="5321" spans="1:12" x14ac:dyDescent="0.25">
      <c r="A5321" s="3" t="s">
        <v>16971</v>
      </c>
      <c r="B5321" s="4" t="s">
        <v>16972</v>
      </c>
      <c r="C5321" s="4" t="s">
        <v>25</v>
      </c>
      <c r="D5321" s="4" t="s">
        <v>26</v>
      </c>
      <c r="E5321" s="5" t="str">
        <f>"9070006"</f>
        <v>9070006</v>
      </c>
      <c r="F5321" s="3" t="s">
        <v>17030</v>
      </c>
      <c r="G5321" s="5">
        <v>2262027724</v>
      </c>
      <c r="H5321" s="4" t="s">
        <v>17031</v>
      </c>
      <c r="I5321" s="4" t="s">
        <v>16990</v>
      </c>
      <c r="J5321" s="4" t="s">
        <v>17008</v>
      </c>
      <c r="K5321" s="4" t="s">
        <v>17032</v>
      </c>
      <c r="L5321" s="5">
        <v>32200</v>
      </c>
    </row>
    <row r="5322" spans="1:12" x14ac:dyDescent="0.25">
      <c r="A5322" s="3" t="s">
        <v>16971</v>
      </c>
      <c r="B5322" s="4" t="s">
        <v>16972</v>
      </c>
      <c r="C5322" s="4" t="s">
        <v>14</v>
      </c>
      <c r="D5322" s="4" t="s">
        <v>15</v>
      </c>
      <c r="E5322" s="5" t="str">
        <f>"9070287"</f>
        <v>9070287</v>
      </c>
      <c r="F5322" s="3" t="s">
        <v>17033</v>
      </c>
      <c r="G5322" s="5">
        <v>2261025281</v>
      </c>
      <c r="H5322" s="4" t="s">
        <v>17034</v>
      </c>
      <c r="I5322" s="4" t="s">
        <v>16975</v>
      </c>
      <c r="J5322" s="4" t="s">
        <v>16995</v>
      </c>
      <c r="K5322" s="4" t="s">
        <v>17035</v>
      </c>
      <c r="L5322" s="5">
        <v>32131</v>
      </c>
    </row>
    <row r="5323" spans="1:12" x14ac:dyDescent="0.25">
      <c r="A5323" s="3" t="s">
        <v>16971</v>
      </c>
      <c r="B5323" s="4" t="s">
        <v>16972</v>
      </c>
      <c r="C5323" s="4" t="s">
        <v>14</v>
      </c>
      <c r="D5323" s="4" t="s">
        <v>15</v>
      </c>
      <c r="E5323" s="5" t="str">
        <f>"9070112"</f>
        <v>9070112</v>
      </c>
      <c r="F5323" s="3" t="s">
        <v>17036</v>
      </c>
      <c r="G5323" s="5">
        <v>2261091220</v>
      </c>
      <c r="H5323" s="4" t="s">
        <v>17037</v>
      </c>
      <c r="I5323" s="4" t="s">
        <v>16986</v>
      </c>
      <c r="J5323" s="4" t="s">
        <v>17038</v>
      </c>
      <c r="K5323" s="4" t="s">
        <v>17039</v>
      </c>
      <c r="L5323" s="5">
        <v>32300</v>
      </c>
    </row>
    <row r="5324" spans="1:12" x14ac:dyDescent="0.25">
      <c r="A5324" s="3" t="s">
        <v>16971</v>
      </c>
      <c r="B5324" s="4" t="s">
        <v>16972</v>
      </c>
      <c r="C5324" s="4" t="s">
        <v>14</v>
      </c>
      <c r="D5324" s="4" t="s">
        <v>15</v>
      </c>
      <c r="E5324" s="5" t="str">
        <f>"9070044"</f>
        <v>9070044</v>
      </c>
      <c r="F5324" s="3" t="s">
        <v>17040</v>
      </c>
      <c r="G5324" s="5">
        <v>2262067328</v>
      </c>
      <c r="H5324" s="4" t="s">
        <v>17041</v>
      </c>
      <c r="I5324" s="4" t="s">
        <v>17042</v>
      </c>
      <c r="J5324" s="4" t="s">
        <v>9306</v>
      </c>
      <c r="K5324" s="4" t="s">
        <v>9306</v>
      </c>
      <c r="L5324" s="5">
        <v>32002</v>
      </c>
    </row>
    <row r="5325" spans="1:12" x14ac:dyDescent="0.25">
      <c r="A5325" s="3" t="s">
        <v>16971</v>
      </c>
      <c r="B5325" s="4" t="s">
        <v>16972</v>
      </c>
      <c r="C5325" s="4" t="s">
        <v>14</v>
      </c>
      <c r="D5325" s="4" t="s">
        <v>15</v>
      </c>
      <c r="E5325" s="5" t="str">
        <f>"9070080"</f>
        <v>9070080</v>
      </c>
      <c r="F5325" s="3" t="s">
        <v>17043</v>
      </c>
      <c r="G5325" s="5">
        <v>2261032305</v>
      </c>
      <c r="H5325" s="4" t="s">
        <v>17044</v>
      </c>
      <c r="I5325" s="4" t="s">
        <v>16986</v>
      </c>
      <c r="J5325" s="4" t="s">
        <v>17045</v>
      </c>
      <c r="K5325" s="4" t="s">
        <v>17046</v>
      </c>
      <c r="L5325" s="5">
        <v>32300</v>
      </c>
    </row>
    <row r="5326" spans="1:12" x14ac:dyDescent="0.25">
      <c r="A5326" s="3" t="s">
        <v>16971</v>
      </c>
      <c r="B5326" s="4" t="s">
        <v>16972</v>
      </c>
      <c r="C5326" s="4" t="s">
        <v>25</v>
      </c>
      <c r="D5326" s="4" t="s">
        <v>26</v>
      </c>
      <c r="E5326" s="5" t="str">
        <f>"9070233"</f>
        <v>9070233</v>
      </c>
      <c r="F5326" s="3" t="s">
        <v>17047</v>
      </c>
      <c r="G5326" s="5">
        <v>2262023321</v>
      </c>
      <c r="H5326" s="4" t="s">
        <v>17048</v>
      </c>
      <c r="I5326" s="4" t="s">
        <v>16990</v>
      </c>
      <c r="J5326" s="4" t="s">
        <v>17008</v>
      </c>
      <c r="K5326" s="4" t="s">
        <v>17049</v>
      </c>
      <c r="L5326" s="5">
        <v>32200</v>
      </c>
    </row>
    <row r="5327" spans="1:12" x14ac:dyDescent="0.25">
      <c r="A5327" s="3" t="s">
        <v>16971</v>
      </c>
      <c r="B5327" s="4" t="s">
        <v>16972</v>
      </c>
      <c r="C5327" s="4" t="s">
        <v>14</v>
      </c>
      <c r="D5327" s="4" t="s">
        <v>15</v>
      </c>
      <c r="E5327" s="5" t="str">
        <f>"9070010"</f>
        <v>9070010</v>
      </c>
      <c r="F5327" s="3" t="s">
        <v>17050</v>
      </c>
      <c r="G5327" s="5">
        <v>2262029204</v>
      </c>
      <c r="H5327" s="4" t="s">
        <v>17051</v>
      </c>
      <c r="I5327" s="4" t="s">
        <v>16990</v>
      </c>
      <c r="J5327" s="4" t="s">
        <v>16999</v>
      </c>
      <c r="K5327" s="4" t="s">
        <v>17052</v>
      </c>
      <c r="L5327" s="5">
        <v>32200</v>
      </c>
    </row>
    <row r="5328" spans="1:12" x14ac:dyDescent="0.25">
      <c r="A5328" s="3" t="s">
        <v>16971</v>
      </c>
      <c r="B5328" s="4" t="s">
        <v>16972</v>
      </c>
      <c r="C5328" s="4" t="s">
        <v>14</v>
      </c>
      <c r="D5328" s="4" t="s">
        <v>15</v>
      </c>
      <c r="E5328" s="5" t="str">
        <f>"9070016"</f>
        <v>9070016</v>
      </c>
      <c r="F5328" s="3" t="s">
        <v>17053</v>
      </c>
      <c r="G5328" s="5">
        <v>2262071155</v>
      </c>
      <c r="H5328" s="4" t="s">
        <v>17054</v>
      </c>
      <c r="I5328" s="4" t="s">
        <v>17003</v>
      </c>
      <c r="J5328" s="4"/>
      <c r="K5328" s="4" t="s">
        <v>17055</v>
      </c>
      <c r="L5328" s="5">
        <v>32200</v>
      </c>
    </row>
    <row r="5329" spans="1:12" x14ac:dyDescent="0.25">
      <c r="A5329" s="3" t="s">
        <v>16971</v>
      </c>
      <c r="B5329" s="4" t="s">
        <v>16972</v>
      </c>
      <c r="C5329" s="4" t="s">
        <v>25</v>
      </c>
      <c r="D5329" s="4" t="s">
        <v>26</v>
      </c>
      <c r="E5329" s="5" t="str">
        <f>"9070296"</f>
        <v>9070296</v>
      </c>
      <c r="F5329" s="3" t="s">
        <v>17056</v>
      </c>
      <c r="G5329" s="5">
        <v>2261351513</v>
      </c>
      <c r="H5329" s="4" t="s">
        <v>17057</v>
      </c>
      <c r="I5329" s="4" t="s">
        <v>16975</v>
      </c>
      <c r="J5329" s="4" t="s">
        <v>16976</v>
      </c>
      <c r="K5329" s="4" t="s">
        <v>17058</v>
      </c>
      <c r="L5329" s="5">
        <v>32131</v>
      </c>
    </row>
    <row r="5330" spans="1:12" x14ac:dyDescent="0.25">
      <c r="A5330" s="3" t="s">
        <v>16971</v>
      </c>
      <c r="B5330" s="4" t="s">
        <v>16972</v>
      </c>
      <c r="C5330" s="4" t="s">
        <v>25</v>
      </c>
      <c r="D5330" s="4" t="s">
        <v>26</v>
      </c>
      <c r="E5330" s="5" t="str">
        <f>"9520963"</f>
        <v>9520963</v>
      </c>
      <c r="F5330" s="3" t="s">
        <v>17059</v>
      </c>
      <c r="G5330" s="5">
        <v>2261022770</v>
      </c>
      <c r="H5330" s="4" t="s">
        <v>17060</v>
      </c>
      <c r="I5330" s="4" t="s">
        <v>16975</v>
      </c>
      <c r="J5330" s="4" t="s">
        <v>16976</v>
      </c>
      <c r="K5330" s="4" t="s">
        <v>17061</v>
      </c>
      <c r="L5330" s="5">
        <v>32131</v>
      </c>
    </row>
    <row r="5331" spans="1:12" x14ac:dyDescent="0.25">
      <c r="A5331" s="3" t="s">
        <v>16971</v>
      </c>
      <c r="B5331" s="4" t="s">
        <v>16972</v>
      </c>
      <c r="C5331" s="4" t="s">
        <v>14</v>
      </c>
      <c r="D5331" s="4" t="s">
        <v>15</v>
      </c>
      <c r="E5331" s="5" t="str">
        <f>"9070289"</f>
        <v>9070289</v>
      </c>
      <c r="F5331" s="3" t="s">
        <v>17062</v>
      </c>
      <c r="G5331" s="5">
        <v>2261351516</v>
      </c>
      <c r="H5331" s="4" t="s">
        <v>17063</v>
      </c>
      <c r="I5331" s="4" t="s">
        <v>16975</v>
      </c>
      <c r="J5331" s="4" t="s">
        <v>16995</v>
      </c>
      <c r="K5331" s="4" t="s">
        <v>17064</v>
      </c>
      <c r="L5331" s="5">
        <v>32131</v>
      </c>
    </row>
    <row r="5332" spans="1:12" x14ac:dyDescent="0.25">
      <c r="A5332" s="3" t="s">
        <v>16971</v>
      </c>
      <c r="B5332" s="4" t="s">
        <v>16972</v>
      </c>
      <c r="C5332" s="4" t="s">
        <v>25</v>
      </c>
      <c r="D5332" s="4" t="s">
        <v>26</v>
      </c>
      <c r="E5332" s="5" t="str">
        <f>"9070247"</f>
        <v>9070247</v>
      </c>
      <c r="F5332" s="3" t="s">
        <v>17065</v>
      </c>
      <c r="G5332" s="5">
        <v>2261026110</v>
      </c>
      <c r="H5332" s="4" t="s">
        <v>17066</v>
      </c>
      <c r="I5332" s="4" t="s">
        <v>16975</v>
      </c>
      <c r="J5332" s="4" t="s">
        <v>16976</v>
      </c>
      <c r="K5332" s="4" t="s">
        <v>17067</v>
      </c>
      <c r="L5332" s="5">
        <v>32100</v>
      </c>
    </row>
    <row r="5333" spans="1:12" x14ac:dyDescent="0.25">
      <c r="A5333" s="3" t="s">
        <v>16971</v>
      </c>
      <c r="B5333" s="4" t="s">
        <v>16972</v>
      </c>
      <c r="C5333" s="4" t="s">
        <v>14</v>
      </c>
      <c r="D5333" s="4" t="s">
        <v>15</v>
      </c>
      <c r="E5333" s="5" t="str">
        <f>"9070286"</f>
        <v>9070286</v>
      </c>
      <c r="F5333" s="3" t="s">
        <v>17068</v>
      </c>
      <c r="G5333" s="5">
        <v>2261023798</v>
      </c>
      <c r="H5333" s="4" t="s">
        <v>17069</v>
      </c>
      <c r="I5333" s="4" t="s">
        <v>16975</v>
      </c>
      <c r="J5333" s="4" t="s">
        <v>16995</v>
      </c>
      <c r="K5333" s="4" t="s">
        <v>17070</v>
      </c>
      <c r="L5333" s="5">
        <v>32131</v>
      </c>
    </row>
    <row r="5334" spans="1:12" x14ac:dyDescent="0.25">
      <c r="A5334" s="3" t="s">
        <v>16971</v>
      </c>
      <c r="B5334" s="4" t="s">
        <v>16972</v>
      </c>
      <c r="C5334" s="4" t="s">
        <v>14</v>
      </c>
      <c r="D5334" s="4" t="s">
        <v>15</v>
      </c>
      <c r="E5334" s="5" t="str">
        <f>"9070067"</f>
        <v>9070067</v>
      </c>
      <c r="F5334" s="3" t="s">
        <v>17071</v>
      </c>
      <c r="G5334" s="5">
        <v>2267031315</v>
      </c>
      <c r="H5334" s="4" t="s">
        <v>17072</v>
      </c>
      <c r="I5334" s="4" t="s">
        <v>17073</v>
      </c>
      <c r="J5334" s="4"/>
      <c r="K5334" s="4" t="s">
        <v>17074</v>
      </c>
      <c r="L5334" s="5">
        <v>32004</v>
      </c>
    </row>
    <row r="5335" spans="1:12" x14ac:dyDescent="0.25">
      <c r="A5335" s="3" t="s">
        <v>16971</v>
      </c>
      <c r="B5335" s="4" t="s">
        <v>16972</v>
      </c>
      <c r="C5335" s="4" t="s">
        <v>25</v>
      </c>
      <c r="D5335" s="4" t="s">
        <v>26</v>
      </c>
      <c r="E5335" s="5" t="str">
        <f>"9070060"</f>
        <v>9070060</v>
      </c>
      <c r="F5335" s="3" t="s">
        <v>17075</v>
      </c>
      <c r="G5335" s="5">
        <v>2262058923</v>
      </c>
      <c r="H5335" s="4" t="s">
        <v>17076</v>
      </c>
      <c r="I5335" s="4" t="s">
        <v>17003</v>
      </c>
      <c r="J5335" s="4" t="s">
        <v>17077</v>
      </c>
      <c r="K5335" s="4" t="s">
        <v>17078</v>
      </c>
      <c r="L5335" s="5">
        <v>32009</v>
      </c>
    </row>
    <row r="5336" spans="1:12" x14ac:dyDescent="0.25">
      <c r="A5336" s="3" t="s">
        <v>16971</v>
      </c>
      <c r="B5336" s="4" t="s">
        <v>16972</v>
      </c>
      <c r="C5336" s="4" t="s">
        <v>14</v>
      </c>
      <c r="D5336" s="4" t="s">
        <v>15</v>
      </c>
      <c r="E5336" s="5" t="str">
        <f>"9070081"</f>
        <v>9070081</v>
      </c>
      <c r="F5336" s="3" t="s">
        <v>17079</v>
      </c>
      <c r="G5336" s="5">
        <v>2261032461</v>
      </c>
      <c r="H5336" s="4" t="s">
        <v>17080</v>
      </c>
      <c r="I5336" s="4" t="s">
        <v>16986</v>
      </c>
      <c r="J5336" s="4" t="s">
        <v>17045</v>
      </c>
      <c r="K5336" s="4" t="s">
        <v>8003</v>
      </c>
      <c r="L5336" s="5">
        <v>32300</v>
      </c>
    </row>
    <row r="5337" spans="1:12" x14ac:dyDescent="0.25">
      <c r="A5337" s="3" t="s">
        <v>16971</v>
      </c>
      <c r="B5337" s="4" t="s">
        <v>16972</v>
      </c>
      <c r="C5337" s="4" t="s">
        <v>14</v>
      </c>
      <c r="D5337" s="4" t="s">
        <v>15</v>
      </c>
      <c r="E5337" s="5" t="str">
        <f>"9070098"</f>
        <v>9070098</v>
      </c>
      <c r="F5337" s="3" t="s">
        <v>17081</v>
      </c>
      <c r="G5337" s="5">
        <v>2261052340</v>
      </c>
      <c r="H5337" s="4" t="s">
        <v>17082</v>
      </c>
      <c r="I5337" s="4" t="s">
        <v>16975</v>
      </c>
      <c r="J5337" s="4" t="s">
        <v>17083</v>
      </c>
      <c r="K5337" s="4" t="s">
        <v>17083</v>
      </c>
      <c r="L5337" s="5">
        <v>32008</v>
      </c>
    </row>
    <row r="5338" spans="1:12" x14ac:dyDescent="0.25">
      <c r="A5338" s="3" t="s">
        <v>16971</v>
      </c>
      <c r="B5338" s="4" t="s">
        <v>16972</v>
      </c>
      <c r="C5338" s="4" t="s">
        <v>25</v>
      </c>
      <c r="D5338" s="4" t="s">
        <v>26</v>
      </c>
      <c r="E5338" s="5" t="str">
        <f>"9070249"</f>
        <v>9070249</v>
      </c>
      <c r="F5338" s="3" t="s">
        <v>17084</v>
      </c>
      <c r="G5338" s="5">
        <v>2267041471</v>
      </c>
      <c r="H5338" s="4" t="s">
        <v>17085</v>
      </c>
      <c r="I5338" s="4" t="s">
        <v>17073</v>
      </c>
      <c r="J5338" s="4" t="s">
        <v>17086</v>
      </c>
      <c r="K5338" s="4" t="s">
        <v>17087</v>
      </c>
      <c r="L5338" s="5">
        <v>32003</v>
      </c>
    </row>
    <row r="5339" spans="1:12" x14ac:dyDescent="0.25">
      <c r="A5339" s="3" t="s">
        <v>16971</v>
      </c>
      <c r="B5339" s="4" t="s">
        <v>16972</v>
      </c>
      <c r="C5339" s="4" t="s">
        <v>25</v>
      </c>
      <c r="D5339" s="4" t="s">
        <v>26</v>
      </c>
      <c r="E5339" s="5" t="str">
        <f>"9070304"</f>
        <v>9070304</v>
      </c>
      <c r="F5339" s="3" t="s">
        <v>17088</v>
      </c>
      <c r="G5339" s="5">
        <v>2262350351</v>
      </c>
      <c r="H5339" s="4" t="s">
        <v>17089</v>
      </c>
      <c r="I5339" s="4" t="s">
        <v>17003</v>
      </c>
      <c r="J5339" s="4" t="s">
        <v>17077</v>
      </c>
      <c r="K5339" s="4" t="s">
        <v>17090</v>
      </c>
      <c r="L5339" s="5">
        <v>32009</v>
      </c>
    </row>
    <row r="5340" spans="1:12" x14ac:dyDescent="0.25">
      <c r="A5340" s="3" t="s">
        <v>16971</v>
      </c>
      <c r="B5340" s="4" t="s">
        <v>16972</v>
      </c>
      <c r="C5340" s="4" t="s">
        <v>25</v>
      </c>
      <c r="D5340" s="4" t="s">
        <v>26</v>
      </c>
      <c r="E5340" s="5" t="str">
        <f>"9070004"</f>
        <v>9070004</v>
      </c>
      <c r="F5340" s="3" t="s">
        <v>17091</v>
      </c>
      <c r="G5340" s="5">
        <v>2262022662</v>
      </c>
      <c r="H5340" s="4" t="s">
        <v>17092</v>
      </c>
      <c r="I5340" s="4" t="s">
        <v>16990</v>
      </c>
      <c r="J5340" s="4" t="s">
        <v>17093</v>
      </c>
      <c r="K5340" s="4" t="s">
        <v>17094</v>
      </c>
      <c r="L5340" s="5">
        <v>32200</v>
      </c>
    </row>
    <row r="5341" spans="1:12" x14ac:dyDescent="0.25">
      <c r="A5341" s="3" t="s">
        <v>16971</v>
      </c>
      <c r="B5341" s="4" t="s">
        <v>16972</v>
      </c>
      <c r="C5341" s="4" t="s">
        <v>14</v>
      </c>
      <c r="D5341" s="4" t="s">
        <v>15</v>
      </c>
      <c r="E5341" s="5" t="str">
        <f>"9070040"</f>
        <v>9070040</v>
      </c>
      <c r="F5341" s="3" t="s">
        <v>17095</v>
      </c>
      <c r="G5341" s="5">
        <v>2262091233</v>
      </c>
      <c r="H5341" s="4" t="s">
        <v>17096</v>
      </c>
      <c r="I5341" s="4" t="s">
        <v>16990</v>
      </c>
      <c r="J5341" s="4" t="s">
        <v>16991</v>
      </c>
      <c r="K5341" s="4" t="s">
        <v>17097</v>
      </c>
      <c r="L5341" s="5">
        <v>32200</v>
      </c>
    </row>
    <row r="5342" spans="1:12" x14ac:dyDescent="0.25">
      <c r="A5342" s="3" t="s">
        <v>16971</v>
      </c>
      <c r="B5342" s="4" t="s">
        <v>16972</v>
      </c>
      <c r="C5342" s="4" t="s">
        <v>14</v>
      </c>
      <c r="D5342" s="4" t="s">
        <v>15</v>
      </c>
      <c r="E5342" s="5" t="str">
        <f>"9070003"</f>
        <v>9070003</v>
      </c>
      <c r="F5342" s="3" t="s">
        <v>17098</v>
      </c>
      <c r="G5342" s="5">
        <v>2262029017</v>
      </c>
      <c r="H5342" s="4" t="s">
        <v>17099</v>
      </c>
      <c r="I5342" s="4" t="s">
        <v>16990</v>
      </c>
      <c r="J5342" s="4" t="s">
        <v>16991</v>
      </c>
      <c r="K5342" s="4" t="s">
        <v>17100</v>
      </c>
      <c r="L5342" s="5">
        <v>32200</v>
      </c>
    </row>
    <row r="5343" spans="1:12" x14ac:dyDescent="0.25">
      <c r="A5343" s="3" t="s">
        <v>16971</v>
      </c>
      <c r="B5343" s="4" t="s">
        <v>16972</v>
      </c>
      <c r="C5343" s="4" t="s">
        <v>14</v>
      </c>
      <c r="D5343" s="4" t="s">
        <v>15</v>
      </c>
      <c r="E5343" s="5" t="str">
        <f>"9070107"</f>
        <v>9070107</v>
      </c>
      <c r="F5343" s="3" t="s">
        <v>17101</v>
      </c>
      <c r="G5343" s="5">
        <v>2267051443</v>
      </c>
      <c r="H5343" s="4" t="s">
        <v>17102</v>
      </c>
      <c r="I5343" s="4" t="s">
        <v>16975</v>
      </c>
      <c r="J5343" s="4"/>
      <c r="K5343" s="4" t="s">
        <v>17103</v>
      </c>
      <c r="L5343" s="5">
        <v>32006</v>
      </c>
    </row>
    <row r="5344" spans="1:12" x14ac:dyDescent="0.25">
      <c r="A5344" s="3" t="s">
        <v>16971</v>
      </c>
      <c r="B5344" s="4" t="s">
        <v>16972</v>
      </c>
      <c r="C5344" s="4" t="s">
        <v>14</v>
      </c>
      <c r="D5344" s="4" t="s">
        <v>15</v>
      </c>
      <c r="E5344" s="5" t="str">
        <f>"9070097"</f>
        <v>9070097</v>
      </c>
      <c r="F5344" s="3" t="s">
        <v>17104</v>
      </c>
      <c r="G5344" s="5">
        <v>2267041289</v>
      </c>
      <c r="H5344" s="4" t="s">
        <v>17105</v>
      </c>
      <c r="I5344" s="4" t="s">
        <v>17073</v>
      </c>
      <c r="J5344" s="4" t="s">
        <v>17106</v>
      </c>
      <c r="K5344" s="4" t="s">
        <v>17106</v>
      </c>
      <c r="L5344" s="5">
        <v>32012</v>
      </c>
    </row>
    <row r="5345" spans="1:12" x14ac:dyDescent="0.25">
      <c r="A5345" s="3" t="s">
        <v>16971</v>
      </c>
      <c r="B5345" s="4" t="s">
        <v>16972</v>
      </c>
      <c r="C5345" s="4" t="s">
        <v>14</v>
      </c>
      <c r="D5345" s="4" t="s">
        <v>15</v>
      </c>
      <c r="E5345" s="5" t="str">
        <f>"9070070"</f>
        <v>9070070</v>
      </c>
      <c r="F5345" s="3" t="s">
        <v>17107</v>
      </c>
      <c r="G5345" s="5">
        <v>2267022207</v>
      </c>
      <c r="H5345" s="4" t="s">
        <v>17108</v>
      </c>
      <c r="I5345" s="4" t="s">
        <v>17073</v>
      </c>
      <c r="J5345" s="4" t="s">
        <v>17109</v>
      </c>
      <c r="K5345" s="4" t="s">
        <v>17109</v>
      </c>
      <c r="L5345" s="5">
        <v>32005</v>
      </c>
    </row>
    <row r="5346" spans="1:12" x14ac:dyDescent="0.25">
      <c r="A5346" s="3" t="s">
        <v>16971</v>
      </c>
      <c r="B5346" s="4" t="s">
        <v>16972</v>
      </c>
      <c r="C5346" s="4" t="s">
        <v>25</v>
      </c>
      <c r="D5346" s="4" t="s">
        <v>26</v>
      </c>
      <c r="E5346" s="5" t="str">
        <f>"9070244"</f>
        <v>9070244</v>
      </c>
      <c r="F5346" s="3" t="s">
        <v>17110</v>
      </c>
      <c r="G5346" s="5">
        <v>2262031446</v>
      </c>
      <c r="H5346" s="4" t="s">
        <v>17111</v>
      </c>
      <c r="I5346" s="4" t="s">
        <v>17003</v>
      </c>
      <c r="J5346" s="4" t="s">
        <v>17112</v>
      </c>
      <c r="K5346" s="4" t="s">
        <v>17113</v>
      </c>
      <c r="L5346" s="5">
        <v>32011</v>
      </c>
    </row>
    <row r="5347" spans="1:12" x14ac:dyDescent="0.25">
      <c r="A5347" s="3" t="s">
        <v>16971</v>
      </c>
      <c r="B5347" s="4" t="s">
        <v>16972</v>
      </c>
      <c r="C5347" s="4" t="s">
        <v>14</v>
      </c>
      <c r="D5347" s="4" t="s">
        <v>15</v>
      </c>
      <c r="E5347" s="5" t="str">
        <f>"9070068"</f>
        <v>9070068</v>
      </c>
      <c r="F5347" s="3" t="s">
        <v>17114</v>
      </c>
      <c r="G5347" s="5">
        <v>2267041306</v>
      </c>
      <c r="H5347" s="4" t="s">
        <v>17115</v>
      </c>
      <c r="I5347" s="4" t="s">
        <v>17073</v>
      </c>
      <c r="J5347" s="4" t="s">
        <v>17116</v>
      </c>
      <c r="K5347" s="4" t="s">
        <v>17117</v>
      </c>
      <c r="L5347" s="5">
        <v>32003</v>
      </c>
    </row>
    <row r="5348" spans="1:12" x14ac:dyDescent="0.25">
      <c r="A5348" s="3" t="s">
        <v>16971</v>
      </c>
      <c r="B5348" s="4" t="s">
        <v>16972</v>
      </c>
      <c r="C5348" s="4" t="s">
        <v>25</v>
      </c>
      <c r="D5348" s="4" t="s">
        <v>26</v>
      </c>
      <c r="E5348" s="5" t="str">
        <f>"9070260"</f>
        <v>9070260</v>
      </c>
      <c r="F5348" s="3" t="s">
        <v>17118</v>
      </c>
      <c r="G5348" s="5">
        <v>2262089827</v>
      </c>
      <c r="H5348" s="4" t="s">
        <v>17119</v>
      </c>
      <c r="I5348" s="4" t="s">
        <v>17003</v>
      </c>
      <c r="J5348" s="4" t="s">
        <v>17120</v>
      </c>
      <c r="K5348" s="4" t="s">
        <v>17121</v>
      </c>
      <c r="L5348" s="5">
        <v>32200</v>
      </c>
    </row>
    <row r="5349" spans="1:12" x14ac:dyDescent="0.25">
      <c r="A5349" s="3" t="s">
        <v>16971</v>
      </c>
      <c r="B5349" s="4" t="s">
        <v>16972</v>
      </c>
      <c r="C5349" s="4" t="s">
        <v>25</v>
      </c>
      <c r="D5349" s="4" t="s">
        <v>26</v>
      </c>
      <c r="E5349" s="5" t="str">
        <f>"9520808"</f>
        <v>9520808</v>
      </c>
      <c r="F5349" s="3" t="s">
        <v>17122</v>
      </c>
      <c r="G5349" s="5">
        <v>2262036022</v>
      </c>
      <c r="H5349" s="4" t="s">
        <v>17123</v>
      </c>
      <c r="I5349" s="4" t="s">
        <v>17003</v>
      </c>
      <c r="J5349" s="4" t="s">
        <v>17124</v>
      </c>
      <c r="K5349" s="4" t="s">
        <v>17125</v>
      </c>
      <c r="L5349" s="5">
        <v>32011</v>
      </c>
    </row>
    <row r="5350" spans="1:12" x14ac:dyDescent="0.25">
      <c r="A5350" s="3" t="s">
        <v>16971</v>
      </c>
      <c r="B5350" s="4" t="s">
        <v>16972</v>
      </c>
      <c r="C5350" s="4" t="s">
        <v>25</v>
      </c>
      <c r="D5350" s="4" t="s">
        <v>26</v>
      </c>
      <c r="E5350" s="5" t="str">
        <f>"9070291"</f>
        <v>9070291</v>
      </c>
      <c r="F5350" s="3" t="s">
        <v>17126</v>
      </c>
      <c r="G5350" s="5">
        <v>2262350327</v>
      </c>
      <c r="H5350" s="4" t="s">
        <v>17127</v>
      </c>
      <c r="I5350" s="4" t="s">
        <v>17003</v>
      </c>
      <c r="J5350" s="4" t="s">
        <v>17077</v>
      </c>
      <c r="K5350" s="4" t="s">
        <v>17128</v>
      </c>
      <c r="L5350" s="5">
        <v>32009</v>
      </c>
    </row>
    <row r="5351" spans="1:12" x14ac:dyDescent="0.25">
      <c r="A5351" s="3" t="s">
        <v>16971</v>
      </c>
      <c r="B5351" s="4" t="s">
        <v>16972</v>
      </c>
      <c r="C5351" s="4" t="s">
        <v>14</v>
      </c>
      <c r="D5351" s="4" t="s">
        <v>15</v>
      </c>
      <c r="E5351" s="5" t="str">
        <f>"9070073"</f>
        <v>9070073</v>
      </c>
      <c r="F5351" s="3" t="s">
        <v>17129</v>
      </c>
      <c r="G5351" s="5">
        <v>2261029285</v>
      </c>
      <c r="H5351" s="4" t="s">
        <v>17130</v>
      </c>
      <c r="I5351" s="4" t="s">
        <v>16975</v>
      </c>
      <c r="J5351" s="4" t="s">
        <v>16995</v>
      </c>
      <c r="K5351" s="4" t="s">
        <v>17131</v>
      </c>
      <c r="L5351" s="5">
        <v>32131</v>
      </c>
    </row>
    <row r="5352" spans="1:12" x14ac:dyDescent="0.25">
      <c r="A5352" s="3" t="s">
        <v>16971</v>
      </c>
      <c r="B5352" s="4" t="s">
        <v>16972</v>
      </c>
      <c r="C5352" s="4" t="s">
        <v>14</v>
      </c>
      <c r="D5352" s="4" t="s">
        <v>15</v>
      </c>
      <c r="E5352" s="5" t="str">
        <f>"9070074"</f>
        <v>9070074</v>
      </c>
      <c r="F5352" s="3" t="s">
        <v>17132</v>
      </c>
      <c r="G5352" s="5">
        <v>2261029410</v>
      </c>
      <c r="H5352" s="4" t="s">
        <v>17133</v>
      </c>
      <c r="I5352" s="4" t="s">
        <v>16975</v>
      </c>
      <c r="J5352" s="4" t="s">
        <v>16995</v>
      </c>
      <c r="K5352" s="4" t="s">
        <v>17134</v>
      </c>
      <c r="L5352" s="5">
        <v>32131</v>
      </c>
    </row>
    <row r="5353" spans="1:12" x14ac:dyDescent="0.25">
      <c r="A5353" s="3" t="s">
        <v>16971</v>
      </c>
      <c r="B5353" s="4" t="s">
        <v>16972</v>
      </c>
      <c r="C5353" s="4" t="s">
        <v>14</v>
      </c>
      <c r="D5353" s="4" t="s">
        <v>15</v>
      </c>
      <c r="E5353" s="5" t="str">
        <f>"9070263"</f>
        <v>9070263</v>
      </c>
      <c r="F5353" s="3" t="s">
        <v>17135</v>
      </c>
      <c r="G5353" s="5">
        <v>2261351514</v>
      </c>
      <c r="H5353" s="4" t="s">
        <v>17136</v>
      </c>
      <c r="I5353" s="4" t="s">
        <v>16975</v>
      </c>
      <c r="J5353" s="4" t="s">
        <v>16995</v>
      </c>
      <c r="K5353" s="4" t="s">
        <v>17137</v>
      </c>
      <c r="L5353" s="5">
        <v>32131</v>
      </c>
    </row>
    <row r="5354" spans="1:12" x14ac:dyDescent="0.25">
      <c r="A5354" s="3" t="s">
        <v>16971</v>
      </c>
      <c r="B5354" s="4" t="s">
        <v>16972</v>
      </c>
      <c r="C5354" s="4" t="s">
        <v>25</v>
      </c>
      <c r="D5354" s="4" t="s">
        <v>26</v>
      </c>
      <c r="E5354" s="5" t="str">
        <f>"9070258"</f>
        <v>9070258</v>
      </c>
      <c r="F5354" s="3" t="s">
        <v>17138</v>
      </c>
      <c r="G5354" s="5">
        <v>2268022482</v>
      </c>
      <c r="H5354" s="4" t="s">
        <v>17139</v>
      </c>
      <c r="I5354" s="4" t="s">
        <v>17042</v>
      </c>
      <c r="J5354" s="4" t="s">
        <v>17140</v>
      </c>
      <c r="K5354" s="4" t="s">
        <v>17141</v>
      </c>
      <c r="L5354" s="5">
        <v>32001</v>
      </c>
    </row>
    <row r="5355" spans="1:12" x14ac:dyDescent="0.25">
      <c r="A5355" s="3" t="s">
        <v>16971</v>
      </c>
      <c r="B5355" s="4" t="s">
        <v>16972</v>
      </c>
      <c r="C5355" s="4" t="s">
        <v>14</v>
      </c>
      <c r="D5355" s="4" t="s">
        <v>15</v>
      </c>
      <c r="E5355" s="5" t="str">
        <f>"9070266"</f>
        <v>9070266</v>
      </c>
      <c r="F5355" s="3" t="s">
        <v>17142</v>
      </c>
      <c r="G5355" s="5">
        <v>2261351537</v>
      </c>
      <c r="H5355" s="4" t="s">
        <v>17143</v>
      </c>
      <c r="I5355" s="4" t="s">
        <v>16975</v>
      </c>
      <c r="J5355" s="4" t="s">
        <v>16995</v>
      </c>
      <c r="K5355" s="4" t="s">
        <v>17144</v>
      </c>
      <c r="L5355" s="5">
        <v>32131</v>
      </c>
    </row>
    <row r="5356" spans="1:12" x14ac:dyDescent="0.25">
      <c r="A5356" s="3" t="s">
        <v>16971</v>
      </c>
      <c r="B5356" s="4" t="s">
        <v>16972</v>
      </c>
      <c r="C5356" s="4" t="s">
        <v>25</v>
      </c>
      <c r="D5356" s="4" t="s">
        <v>26</v>
      </c>
      <c r="E5356" s="5" t="str">
        <f>"9070227"</f>
        <v>9070227</v>
      </c>
      <c r="F5356" s="3" t="s">
        <v>17145</v>
      </c>
      <c r="G5356" s="5">
        <v>2268022930</v>
      </c>
      <c r="H5356" s="4" t="s">
        <v>17146</v>
      </c>
      <c r="I5356" s="4" t="s">
        <v>17042</v>
      </c>
      <c r="J5356" s="4" t="s">
        <v>17140</v>
      </c>
      <c r="K5356" s="4" t="s">
        <v>17147</v>
      </c>
      <c r="L5356" s="5">
        <v>32001</v>
      </c>
    </row>
    <row r="5357" spans="1:12" x14ac:dyDescent="0.25">
      <c r="A5357" s="3" t="s">
        <v>16971</v>
      </c>
      <c r="B5357" s="4" t="s">
        <v>16972</v>
      </c>
      <c r="C5357" s="4" t="s">
        <v>14</v>
      </c>
      <c r="D5357" s="4" t="s">
        <v>15</v>
      </c>
      <c r="E5357" s="5" t="str">
        <f>"9070092"</f>
        <v>9070092</v>
      </c>
      <c r="F5357" s="3" t="s">
        <v>17148</v>
      </c>
      <c r="G5357" s="5">
        <v>2268022275</v>
      </c>
      <c r="H5357" s="4" t="s">
        <v>17149</v>
      </c>
      <c r="I5357" s="4" t="s">
        <v>17042</v>
      </c>
      <c r="J5357" s="4" t="s">
        <v>17141</v>
      </c>
      <c r="K5357" s="4" t="s">
        <v>17141</v>
      </c>
      <c r="L5357" s="5">
        <v>32001</v>
      </c>
    </row>
    <row r="5358" spans="1:12" x14ac:dyDescent="0.25">
      <c r="A5358" s="3" t="s">
        <v>16971</v>
      </c>
      <c r="B5358" s="4" t="s">
        <v>16972</v>
      </c>
      <c r="C5358" s="4" t="s">
        <v>14</v>
      </c>
      <c r="D5358" s="4" t="s">
        <v>15</v>
      </c>
      <c r="E5358" s="5" t="str">
        <f>"9070027"</f>
        <v>9070027</v>
      </c>
      <c r="F5358" s="3" t="s">
        <v>17150</v>
      </c>
      <c r="G5358" s="5">
        <v>2262065296</v>
      </c>
      <c r="H5358" s="4" t="s">
        <v>17151</v>
      </c>
      <c r="I5358" s="4" t="s">
        <v>17042</v>
      </c>
      <c r="J5358" s="4"/>
      <c r="K5358" s="4" t="s">
        <v>17152</v>
      </c>
      <c r="L5358" s="5">
        <v>32002</v>
      </c>
    </row>
    <row r="5359" spans="1:12" x14ac:dyDescent="0.25">
      <c r="A5359" s="3" t="s">
        <v>16971</v>
      </c>
      <c r="B5359" s="4" t="s">
        <v>16972</v>
      </c>
      <c r="C5359" s="4" t="s">
        <v>14</v>
      </c>
      <c r="D5359" s="4" t="s">
        <v>15</v>
      </c>
      <c r="E5359" s="5" t="str">
        <f>"9520909"</f>
        <v>9520909</v>
      </c>
      <c r="F5359" s="3" t="s">
        <v>17153</v>
      </c>
      <c r="G5359" s="5">
        <v>2262034504</v>
      </c>
      <c r="H5359" s="4" t="s">
        <v>17154</v>
      </c>
      <c r="I5359" s="4" t="s">
        <v>17003</v>
      </c>
      <c r="J5359" s="4" t="s">
        <v>17155</v>
      </c>
      <c r="K5359" s="4" t="s">
        <v>17156</v>
      </c>
      <c r="L5359" s="5">
        <v>32009</v>
      </c>
    </row>
    <row r="5360" spans="1:12" x14ac:dyDescent="0.25">
      <c r="A5360" s="3" t="s">
        <v>16971</v>
      </c>
      <c r="B5360" s="4" t="s">
        <v>16972</v>
      </c>
      <c r="C5360" s="4" t="s">
        <v>25</v>
      </c>
      <c r="D5360" s="4" t="s">
        <v>26</v>
      </c>
      <c r="E5360" s="5" t="str">
        <f>"9070295"</f>
        <v>9070295</v>
      </c>
      <c r="F5360" s="3" t="s">
        <v>17157</v>
      </c>
      <c r="G5360" s="5">
        <v>2262028385</v>
      </c>
      <c r="H5360" s="4" t="s">
        <v>17158</v>
      </c>
      <c r="I5360" s="4" t="s">
        <v>16990</v>
      </c>
      <c r="J5360" s="4" t="s">
        <v>16991</v>
      </c>
      <c r="K5360" s="4" t="s">
        <v>17159</v>
      </c>
      <c r="L5360" s="5">
        <v>32200</v>
      </c>
    </row>
    <row r="5361" spans="1:12" x14ac:dyDescent="0.25">
      <c r="A5361" s="3" t="s">
        <v>16971</v>
      </c>
      <c r="B5361" s="4" t="s">
        <v>16972</v>
      </c>
      <c r="C5361" s="4" t="s">
        <v>14</v>
      </c>
      <c r="D5361" s="4" t="s">
        <v>15</v>
      </c>
      <c r="E5361" s="5" t="str">
        <f>"9070009"</f>
        <v>9070009</v>
      </c>
      <c r="F5361" s="3" t="s">
        <v>17160</v>
      </c>
      <c r="G5361" s="5">
        <v>2262027013</v>
      </c>
      <c r="H5361" s="4" t="s">
        <v>17161</v>
      </c>
      <c r="I5361" s="4" t="s">
        <v>16990</v>
      </c>
      <c r="J5361" s="4" t="s">
        <v>16991</v>
      </c>
      <c r="K5361" s="4" t="s">
        <v>6198</v>
      </c>
      <c r="L5361" s="5">
        <v>32200</v>
      </c>
    </row>
    <row r="5362" spans="1:12" x14ac:dyDescent="0.25">
      <c r="A5362" s="3" t="s">
        <v>16971</v>
      </c>
      <c r="B5362" s="4" t="s">
        <v>16972</v>
      </c>
      <c r="C5362" s="4" t="s">
        <v>14</v>
      </c>
      <c r="D5362" s="4" t="s">
        <v>15</v>
      </c>
      <c r="E5362" s="5" t="str">
        <f>"9070017"</f>
        <v>9070017</v>
      </c>
      <c r="F5362" s="3" t="s">
        <v>17162</v>
      </c>
      <c r="G5362" s="5">
        <v>2262095383</v>
      </c>
      <c r="H5362" s="4" t="s">
        <v>17163</v>
      </c>
      <c r="I5362" s="4" t="s">
        <v>17003</v>
      </c>
      <c r="J5362" s="4" t="s">
        <v>17164</v>
      </c>
      <c r="K5362" s="4" t="s">
        <v>17164</v>
      </c>
      <c r="L5362" s="5">
        <v>32200</v>
      </c>
    </row>
    <row r="5363" spans="1:12" x14ac:dyDescent="0.25">
      <c r="A5363" s="3" t="s">
        <v>16971</v>
      </c>
      <c r="B5363" s="4" t="s">
        <v>16972</v>
      </c>
      <c r="C5363" s="4" t="s">
        <v>25</v>
      </c>
      <c r="D5363" s="4" t="s">
        <v>26</v>
      </c>
      <c r="E5363" s="5" t="str">
        <f>"9070230"</f>
        <v>9070230</v>
      </c>
      <c r="F5363" s="3" t="s">
        <v>17165</v>
      </c>
      <c r="G5363" s="5">
        <v>2267031389</v>
      </c>
      <c r="H5363" s="4" t="s">
        <v>17166</v>
      </c>
      <c r="I5363" s="4" t="s">
        <v>17073</v>
      </c>
      <c r="J5363" s="4" t="s">
        <v>17167</v>
      </c>
      <c r="K5363" s="4" t="s">
        <v>17168</v>
      </c>
      <c r="L5363" s="5">
        <v>32004</v>
      </c>
    </row>
    <row r="5364" spans="1:12" x14ac:dyDescent="0.25">
      <c r="A5364" s="3" t="s">
        <v>16971</v>
      </c>
      <c r="B5364" s="4" t="s">
        <v>16972</v>
      </c>
      <c r="C5364" s="4" t="s">
        <v>14</v>
      </c>
      <c r="D5364" s="4" t="s">
        <v>15</v>
      </c>
      <c r="E5364" s="5" t="str">
        <f>"9070019"</f>
        <v>9070019</v>
      </c>
      <c r="F5364" s="3" t="s">
        <v>17169</v>
      </c>
      <c r="G5364" s="5">
        <v>2262061535</v>
      </c>
      <c r="H5364" s="4" t="s">
        <v>17170</v>
      </c>
      <c r="I5364" s="4" t="s">
        <v>16990</v>
      </c>
      <c r="J5364" s="4" t="s">
        <v>17171</v>
      </c>
      <c r="K5364" s="4" t="s">
        <v>17171</v>
      </c>
      <c r="L5364" s="5">
        <v>32002</v>
      </c>
    </row>
    <row r="5365" spans="1:12" x14ac:dyDescent="0.25">
      <c r="A5365" s="3" t="s">
        <v>16971</v>
      </c>
      <c r="B5365" s="4" t="s">
        <v>16972</v>
      </c>
      <c r="C5365" s="4" t="s">
        <v>14</v>
      </c>
      <c r="D5365" s="4" t="s">
        <v>15</v>
      </c>
      <c r="E5365" s="5" t="str">
        <f>"9070093"</f>
        <v>9070093</v>
      </c>
      <c r="F5365" s="3" t="s">
        <v>17172</v>
      </c>
      <c r="G5365" s="5">
        <v>2268022284</v>
      </c>
      <c r="H5365" s="4" t="s">
        <v>17173</v>
      </c>
      <c r="I5365" s="4" t="s">
        <v>17042</v>
      </c>
      <c r="J5365" s="4" t="s">
        <v>17141</v>
      </c>
      <c r="K5365" s="4" t="s">
        <v>17174</v>
      </c>
      <c r="L5365" s="5">
        <v>32001</v>
      </c>
    </row>
    <row r="5366" spans="1:12" x14ac:dyDescent="0.25">
      <c r="A5366" s="3" t="s">
        <v>16971</v>
      </c>
      <c r="B5366" s="4" t="s">
        <v>16972</v>
      </c>
      <c r="C5366" s="4" t="s">
        <v>14</v>
      </c>
      <c r="D5366" s="4" t="s">
        <v>15</v>
      </c>
      <c r="E5366" s="5" t="str">
        <f>"9070290"</f>
        <v>9070290</v>
      </c>
      <c r="F5366" s="3" t="s">
        <v>17175</v>
      </c>
      <c r="G5366" s="5">
        <v>2262350341</v>
      </c>
      <c r="H5366" s="4" t="s">
        <v>17176</v>
      </c>
      <c r="I5366" s="4" t="s">
        <v>17003</v>
      </c>
      <c r="J5366" s="4" t="s">
        <v>17004</v>
      </c>
      <c r="K5366" s="4" t="s">
        <v>17177</v>
      </c>
      <c r="L5366" s="5">
        <v>32009</v>
      </c>
    </row>
    <row r="5367" spans="1:12" x14ac:dyDescent="0.25">
      <c r="A5367" s="3" t="s">
        <v>16971</v>
      </c>
      <c r="B5367" s="4" t="s">
        <v>16972</v>
      </c>
      <c r="C5367" s="4" t="s">
        <v>14</v>
      </c>
      <c r="D5367" s="4" t="s">
        <v>15</v>
      </c>
      <c r="E5367" s="5" t="str">
        <f>"9070299"</f>
        <v>9070299</v>
      </c>
      <c r="F5367" s="3" t="s">
        <v>17178</v>
      </c>
      <c r="G5367" s="5">
        <v>2262350371</v>
      </c>
      <c r="H5367" s="4" t="s">
        <v>17179</v>
      </c>
      <c r="I5367" s="4" t="s">
        <v>17003</v>
      </c>
      <c r="J5367" s="4" t="s">
        <v>17004</v>
      </c>
      <c r="K5367" s="4" t="s">
        <v>17090</v>
      </c>
      <c r="L5367" s="5">
        <v>32009</v>
      </c>
    </row>
    <row r="5368" spans="1:12" x14ac:dyDescent="0.25">
      <c r="A5368" s="3" t="s">
        <v>16971</v>
      </c>
      <c r="B5368" s="4" t="s">
        <v>16972</v>
      </c>
      <c r="C5368" s="4" t="s">
        <v>14</v>
      </c>
      <c r="D5368" s="4" t="s">
        <v>15</v>
      </c>
      <c r="E5368" s="5" t="str">
        <f>"9521013"</f>
        <v>9521013</v>
      </c>
      <c r="F5368" s="3" t="s">
        <v>17180</v>
      </c>
      <c r="G5368" s="5">
        <v>2262350312</v>
      </c>
      <c r="H5368" s="4" t="s">
        <v>17181</v>
      </c>
      <c r="I5368" s="4" t="s">
        <v>16990</v>
      </c>
      <c r="J5368" s="4" t="s">
        <v>16991</v>
      </c>
      <c r="K5368" s="4" t="s">
        <v>17182</v>
      </c>
      <c r="L5368" s="5">
        <v>32200</v>
      </c>
    </row>
    <row r="5369" spans="1:12" x14ac:dyDescent="0.25">
      <c r="A5369" s="3" t="s">
        <v>16971</v>
      </c>
      <c r="B5369" s="4" t="s">
        <v>16972</v>
      </c>
      <c r="C5369" s="4" t="s">
        <v>25</v>
      </c>
      <c r="D5369" s="4" t="s">
        <v>26</v>
      </c>
      <c r="E5369" s="5" t="str">
        <f>"9070274"</f>
        <v>9070274</v>
      </c>
      <c r="F5369" s="3" t="s">
        <v>17183</v>
      </c>
      <c r="G5369" s="5">
        <v>2262023921</v>
      </c>
      <c r="H5369" s="4" t="s">
        <v>17184</v>
      </c>
      <c r="I5369" s="4" t="s">
        <v>16990</v>
      </c>
      <c r="J5369" s="4" t="s">
        <v>17008</v>
      </c>
      <c r="K5369" s="4" t="s">
        <v>17185</v>
      </c>
      <c r="L5369" s="5">
        <v>32200</v>
      </c>
    </row>
    <row r="5370" spans="1:12" x14ac:dyDescent="0.25">
      <c r="A5370" s="3" t="s">
        <v>16971</v>
      </c>
      <c r="B5370" s="4" t="s">
        <v>16972</v>
      </c>
      <c r="C5370" s="4" t="s">
        <v>14</v>
      </c>
      <c r="D5370" s="4" t="s">
        <v>15</v>
      </c>
      <c r="E5370" s="5" t="str">
        <f>"9070051"</f>
        <v>9070051</v>
      </c>
      <c r="F5370" s="3" t="s">
        <v>17186</v>
      </c>
      <c r="G5370" s="5">
        <v>2262031331</v>
      </c>
      <c r="H5370" s="4" t="s">
        <v>17187</v>
      </c>
      <c r="I5370" s="4" t="s">
        <v>17003</v>
      </c>
      <c r="J5370" s="4" t="s">
        <v>17188</v>
      </c>
      <c r="K5370" s="4" t="s">
        <v>17189</v>
      </c>
      <c r="L5370" s="5">
        <v>32011</v>
      </c>
    </row>
    <row r="5371" spans="1:12" x14ac:dyDescent="0.25">
      <c r="A5371" s="3" t="s">
        <v>16971</v>
      </c>
      <c r="B5371" s="4" t="s">
        <v>16972</v>
      </c>
      <c r="C5371" s="4" t="s">
        <v>25</v>
      </c>
      <c r="D5371" s="4" t="s">
        <v>26</v>
      </c>
      <c r="E5371" s="5" t="str">
        <f>"9520965"</f>
        <v>9520965</v>
      </c>
      <c r="F5371" s="3" t="s">
        <v>17190</v>
      </c>
      <c r="G5371" s="5">
        <v>2262081232</v>
      </c>
      <c r="H5371" s="4" t="s">
        <v>17191</v>
      </c>
      <c r="I5371" s="4" t="s">
        <v>16990</v>
      </c>
      <c r="J5371" s="4" t="s">
        <v>16991</v>
      </c>
      <c r="K5371" s="4" t="s">
        <v>17192</v>
      </c>
      <c r="L5371" s="5">
        <v>32200</v>
      </c>
    </row>
    <row r="5372" spans="1:12" x14ac:dyDescent="0.25">
      <c r="A5372" s="3" t="s">
        <v>16971</v>
      </c>
      <c r="B5372" s="4" t="s">
        <v>16972</v>
      </c>
      <c r="C5372" s="4" t="s">
        <v>14</v>
      </c>
      <c r="D5372" s="4" t="s">
        <v>15</v>
      </c>
      <c r="E5372" s="5" t="str">
        <f>"9070005"</f>
        <v>9070005</v>
      </c>
      <c r="F5372" s="3" t="s">
        <v>17193</v>
      </c>
      <c r="G5372" s="5">
        <v>2262029034</v>
      </c>
      <c r="H5372" s="4" t="s">
        <v>17194</v>
      </c>
      <c r="I5372" s="4" t="s">
        <v>16990</v>
      </c>
      <c r="J5372" s="4" t="s">
        <v>16999</v>
      </c>
      <c r="K5372" s="4" t="s">
        <v>17195</v>
      </c>
      <c r="L5372" s="5">
        <v>32200</v>
      </c>
    </row>
    <row r="5373" spans="1:12" x14ac:dyDescent="0.25">
      <c r="A5373" s="3" t="s">
        <v>16971</v>
      </c>
      <c r="B5373" s="4" t="s">
        <v>16972</v>
      </c>
      <c r="C5373" s="4" t="s">
        <v>25</v>
      </c>
      <c r="D5373" s="4" t="s">
        <v>26</v>
      </c>
      <c r="E5373" s="5" t="str">
        <f>"9521123"</f>
        <v>9521123</v>
      </c>
      <c r="F5373" s="3" t="s">
        <v>17196</v>
      </c>
      <c r="G5373" s="5">
        <v>2261081042</v>
      </c>
      <c r="H5373" s="4" t="s">
        <v>17197</v>
      </c>
      <c r="I5373" s="4" t="s">
        <v>16975</v>
      </c>
      <c r="J5373" s="4" t="s">
        <v>16976</v>
      </c>
      <c r="K5373" s="4" t="s">
        <v>17198</v>
      </c>
      <c r="L5373" s="5">
        <v>32131</v>
      </c>
    </row>
    <row r="5374" spans="1:12" x14ac:dyDescent="0.25">
      <c r="A5374" s="3" t="s">
        <v>16971</v>
      </c>
      <c r="B5374" s="4" t="s">
        <v>16972</v>
      </c>
      <c r="C5374" s="4" t="s">
        <v>14</v>
      </c>
      <c r="D5374" s="4" t="s">
        <v>15</v>
      </c>
      <c r="E5374" s="5" t="str">
        <f>"9070013"</f>
        <v>9070013</v>
      </c>
      <c r="F5374" s="3" t="s">
        <v>17199</v>
      </c>
      <c r="G5374" s="5">
        <v>2262037484</v>
      </c>
      <c r="H5374" s="4" t="s">
        <v>17200</v>
      </c>
      <c r="I5374" s="4" t="s">
        <v>17003</v>
      </c>
      <c r="J5374" s="4" t="s">
        <v>17201</v>
      </c>
      <c r="K5374" s="4" t="s">
        <v>17202</v>
      </c>
      <c r="L5374" s="5">
        <v>32009</v>
      </c>
    </row>
    <row r="5375" spans="1:12" x14ac:dyDescent="0.25">
      <c r="A5375" s="3" t="s">
        <v>16971</v>
      </c>
      <c r="B5375" s="4" t="s">
        <v>16972</v>
      </c>
      <c r="C5375" s="4" t="s">
        <v>25</v>
      </c>
      <c r="D5375" s="4" t="s">
        <v>26</v>
      </c>
      <c r="E5375" s="5" t="str">
        <f>"9521436"</f>
        <v>9521436</v>
      </c>
      <c r="F5375" s="3" t="s">
        <v>17203</v>
      </c>
      <c r="G5375" s="5">
        <v>2261351587</v>
      </c>
      <c r="H5375" s="4" t="s">
        <v>17204</v>
      </c>
      <c r="I5375" s="4" t="s">
        <v>16975</v>
      </c>
      <c r="J5375" s="4" t="s">
        <v>16976</v>
      </c>
      <c r="K5375" s="4" t="s">
        <v>17205</v>
      </c>
      <c r="L5375" s="5">
        <v>32131</v>
      </c>
    </row>
    <row r="5376" spans="1:12" x14ac:dyDescent="0.25">
      <c r="A5376" s="3" t="s">
        <v>16971</v>
      </c>
      <c r="B5376" s="4" t="s">
        <v>16972</v>
      </c>
      <c r="C5376" s="4" t="s">
        <v>14</v>
      </c>
      <c r="D5376" s="4" t="s">
        <v>15</v>
      </c>
      <c r="E5376" s="5" t="str">
        <f>"9070085"</f>
        <v>9070085</v>
      </c>
      <c r="F5376" s="3" t="s">
        <v>17206</v>
      </c>
      <c r="G5376" s="5">
        <v>2261351570</v>
      </c>
      <c r="H5376" s="4" t="s">
        <v>17207</v>
      </c>
      <c r="I5376" s="4" t="s">
        <v>16975</v>
      </c>
      <c r="J5376" s="4" t="s">
        <v>12673</v>
      </c>
      <c r="K5376" s="4" t="s">
        <v>12673</v>
      </c>
      <c r="L5376" s="5">
        <v>32007</v>
      </c>
    </row>
    <row r="5377" spans="1:12" x14ac:dyDescent="0.25">
      <c r="A5377" s="3" t="s">
        <v>16971</v>
      </c>
      <c r="B5377" s="4" t="s">
        <v>16972</v>
      </c>
      <c r="C5377" s="4" t="s">
        <v>25</v>
      </c>
      <c r="D5377" s="4" t="s">
        <v>26</v>
      </c>
      <c r="E5377" s="5" t="str">
        <f>"9521677"</f>
        <v>9521677</v>
      </c>
      <c r="F5377" s="3" t="s">
        <v>17208</v>
      </c>
      <c r="G5377" s="5">
        <v>2262031194</v>
      </c>
      <c r="H5377" s="4" t="s">
        <v>17209</v>
      </c>
      <c r="I5377" s="4" t="s">
        <v>17003</v>
      </c>
      <c r="J5377" s="4" t="s">
        <v>17112</v>
      </c>
      <c r="K5377" s="4" t="s">
        <v>17210</v>
      </c>
      <c r="L5377" s="5">
        <v>32011</v>
      </c>
    </row>
    <row r="5378" spans="1:12" x14ac:dyDescent="0.25">
      <c r="A5378" s="3" t="s">
        <v>16971</v>
      </c>
      <c r="B5378" s="4" t="s">
        <v>17211</v>
      </c>
      <c r="C5378" s="4" t="s">
        <v>25</v>
      </c>
      <c r="D5378" s="4" t="s">
        <v>26</v>
      </c>
      <c r="E5378" s="5" t="str">
        <f>"9120287"</f>
        <v>9120287</v>
      </c>
      <c r="F5378" s="3" t="s">
        <v>17212</v>
      </c>
      <c r="G5378" s="5">
        <v>2229060555</v>
      </c>
      <c r="H5378" s="4" t="s">
        <v>17213</v>
      </c>
      <c r="I5378" s="4" t="s">
        <v>17214</v>
      </c>
      <c r="J5378" s="4" t="s">
        <v>17215</v>
      </c>
      <c r="K5378" s="4" t="s">
        <v>17216</v>
      </c>
      <c r="L5378" s="5">
        <v>34008</v>
      </c>
    </row>
    <row r="5379" spans="1:12" x14ac:dyDescent="0.25">
      <c r="A5379" s="3" t="s">
        <v>16971</v>
      </c>
      <c r="B5379" s="4" t="s">
        <v>17211</v>
      </c>
      <c r="C5379" s="4" t="s">
        <v>25</v>
      </c>
      <c r="D5379" s="4" t="s">
        <v>26</v>
      </c>
      <c r="E5379" s="5" t="str">
        <f>"9120284"</f>
        <v>9120284</v>
      </c>
      <c r="F5379" s="3" t="s">
        <v>17217</v>
      </c>
      <c r="G5379" s="5">
        <v>2228024203</v>
      </c>
      <c r="H5379" s="4" t="s">
        <v>17218</v>
      </c>
      <c r="I5379" s="4" t="s">
        <v>17219</v>
      </c>
      <c r="J5379" s="4" t="s">
        <v>17220</v>
      </c>
      <c r="K5379" s="4" t="s">
        <v>17221</v>
      </c>
      <c r="L5379" s="5">
        <v>34400</v>
      </c>
    </row>
    <row r="5380" spans="1:12" x14ac:dyDescent="0.25">
      <c r="A5380" s="3" t="s">
        <v>16971</v>
      </c>
      <c r="B5380" s="4" t="s">
        <v>17211</v>
      </c>
      <c r="C5380" s="4" t="s">
        <v>25</v>
      </c>
      <c r="D5380" s="4" t="s">
        <v>26</v>
      </c>
      <c r="E5380" s="5" t="str">
        <f>"9120285"</f>
        <v>9120285</v>
      </c>
      <c r="F5380" s="3" t="s">
        <v>17222</v>
      </c>
      <c r="G5380" s="5">
        <v>2221088291</v>
      </c>
      <c r="H5380" s="4" t="s">
        <v>17223</v>
      </c>
      <c r="I5380" s="4" t="s">
        <v>17224</v>
      </c>
      <c r="J5380" s="4" t="s">
        <v>17225</v>
      </c>
      <c r="K5380" s="4" t="s">
        <v>17226</v>
      </c>
      <c r="L5380" s="5">
        <v>34100</v>
      </c>
    </row>
    <row r="5381" spans="1:12" x14ac:dyDescent="0.25">
      <c r="A5381" s="3" t="s">
        <v>16971</v>
      </c>
      <c r="B5381" s="4" t="s">
        <v>17211</v>
      </c>
      <c r="C5381" s="4" t="s">
        <v>25</v>
      </c>
      <c r="D5381" s="4" t="s">
        <v>26</v>
      </c>
      <c r="E5381" s="5" t="str">
        <f>"9120343"</f>
        <v>9120343</v>
      </c>
      <c r="F5381" s="3" t="s">
        <v>17227</v>
      </c>
      <c r="G5381" s="5">
        <v>2221053933</v>
      </c>
      <c r="H5381" s="4" t="s">
        <v>17228</v>
      </c>
      <c r="I5381" s="4" t="s">
        <v>17224</v>
      </c>
      <c r="J5381" s="4" t="s">
        <v>17229</v>
      </c>
      <c r="K5381" s="4" t="s">
        <v>17230</v>
      </c>
      <c r="L5381" s="5">
        <v>34100</v>
      </c>
    </row>
    <row r="5382" spans="1:12" x14ac:dyDescent="0.25">
      <c r="A5382" s="3" t="s">
        <v>16971</v>
      </c>
      <c r="B5382" s="4" t="s">
        <v>17211</v>
      </c>
      <c r="C5382" s="4" t="s">
        <v>14</v>
      </c>
      <c r="D5382" s="4" t="s">
        <v>15</v>
      </c>
      <c r="E5382" s="5" t="str">
        <f>"9120283"</f>
        <v>9120283</v>
      </c>
      <c r="F5382" s="3" t="s">
        <v>17231</v>
      </c>
      <c r="G5382" s="5">
        <v>2221053134</v>
      </c>
      <c r="H5382" s="4" t="s">
        <v>17232</v>
      </c>
      <c r="I5382" s="4" t="s">
        <v>17224</v>
      </c>
      <c r="J5382" s="4"/>
      <c r="K5382" s="4" t="s">
        <v>17233</v>
      </c>
      <c r="L5382" s="5">
        <v>34100</v>
      </c>
    </row>
    <row r="5383" spans="1:12" x14ac:dyDescent="0.25">
      <c r="A5383" s="3" t="s">
        <v>16971</v>
      </c>
      <c r="B5383" s="4" t="s">
        <v>17211</v>
      </c>
      <c r="C5383" s="4" t="s">
        <v>25</v>
      </c>
      <c r="D5383" s="4" t="s">
        <v>26</v>
      </c>
      <c r="E5383" s="5" t="str">
        <f>"9120459"</f>
        <v>9120459</v>
      </c>
      <c r="F5383" s="3" t="s">
        <v>17234</v>
      </c>
      <c r="G5383" s="5">
        <v>2221077949</v>
      </c>
      <c r="H5383" s="4" t="s">
        <v>17235</v>
      </c>
      <c r="I5383" s="4" t="s">
        <v>17224</v>
      </c>
      <c r="J5383" s="4" t="s">
        <v>17236</v>
      </c>
      <c r="K5383" s="4" t="s">
        <v>17237</v>
      </c>
      <c r="L5383" s="5">
        <v>34100</v>
      </c>
    </row>
    <row r="5384" spans="1:12" x14ac:dyDescent="0.25">
      <c r="A5384" s="3" t="s">
        <v>16971</v>
      </c>
      <c r="B5384" s="4" t="s">
        <v>17211</v>
      </c>
      <c r="C5384" s="4" t="s">
        <v>14</v>
      </c>
      <c r="D5384" s="4" t="s">
        <v>15</v>
      </c>
      <c r="E5384" s="5" t="str">
        <f>"9120225"</f>
        <v>9120225</v>
      </c>
      <c r="F5384" s="3" t="s">
        <v>17238</v>
      </c>
      <c r="G5384" s="5">
        <v>2221088840</v>
      </c>
      <c r="H5384" s="4" t="s">
        <v>17239</v>
      </c>
      <c r="I5384" s="4" t="s">
        <v>17224</v>
      </c>
      <c r="J5384" s="4" t="s">
        <v>17240</v>
      </c>
      <c r="K5384" s="4" t="s">
        <v>17241</v>
      </c>
      <c r="L5384" s="5">
        <v>34100</v>
      </c>
    </row>
    <row r="5385" spans="1:12" x14ac:dyDescent="0.25">
      <c r="A5385" s="3" t="s">
        <v>16971</v>
      </c>
      <c r="B5385" s="4" t="s">
        <v>17211</v>
      </c>
      <c r="C5385" s="4" t="s">
        <v>14</v>
      </c>
      <c r="D5385" s="4" t="s">
        <v>15</v>
      </c>
      <c r="E5385" s="5" t="str">
        <f>"9120321"</f>
        <v>9120321</v>
      </c>
      <c r="F5385" s="3" t="s">
        <v>17242</v>
      </c>
      <c r="G5385" s="5">
        <v>2221023655</v>
      </c>
      <c r="H5385" s="4" t="s">
        <v>17243</v>
      </c>
      <c r="I5385" s="4" t="s">
        <v>17224</v>
      </c>
      <c r="J5385" s="4" t="s">
        <v>17244</v>
      </c>
      <c r="K5385" s="4" t="s">
        <v>17245</v>
      </c>
      <c r="L5385" s="5">
        <v>34132</v>
      </c>
    </row>
    <row r="5386" spans="1:12" x14ac:dyDescent="0.25">
      <c r="A5386" s="3" t="s">
        <v>16971</v>
      </c>
      <c r="B5386" s="4" t="s">
        <v>17211</v>
      </c>
      <c r="C5386" s="4" t="s">
        <v>14</v>
      </c>
      <c r="D5386" s="4" t="s">
        <v>15</v>
      </c>
      <c r="E5386" s="5" t="str">
        <f>"9120244"</f>
        <v>9120244</v>
      </c>
      <c r="F5386" s="3" t="s">
        <v>17246</v>
      </c>
      <c r="G5386" s="5">
        <v>2221052852</v>
      </c>
      <c r="H5386" s="4" t="s">
        <v>17247</v>
      </c>
      <c r="I5386" s="4" t="s">
        <v>17224</v>
      </c>
      <c r="J5386" s="4" t="s">
        <v>7521</v>
      </c>
      <c r="K5386" s="4" t="s">
        <v>17248</v>
      </c>
      <c r="L5386" s="5">
        <v>34002</v>
      </c>
    </row>
    <row r="5387" spans="1:12" x14ac:dyDescent="0.25">
      <c r="A5387" s="3" t="s">
        <v>16971</v>
      </c>
      <c r="B5387" s="4" t="s">
        <v>17211</v>
      </c>
      <c r="C5387" s="4" t="s">
        <v>14</v>
      </c>
      <c r="D5387" s="4" t="s">
        <v>15</v>
      </c>
      <c r="E5387" s="5" t="str">
        <f>"9120306"</f>
        <v>9120306</v>
      </c>
      <c r="F5387" s="3" t="s">
        <v>17249</v>
      </c>
      <c r="G5387" s="5">
        <v>2221052133</v>
      </c>
      <c r="H5387" s="4" t="s">
        <v>17250</v>
      </c>
      <c r="I5387" s="4" t="s">
        <v>17224</v>
      </c>
      <c r="J5387" s="4" t="s">
        <v>17251</v>
      </c>
      <c r="K5387" s="4" t="s">
        <v>17252</v>
      </c>
      <c r="L5387" s="5">
        <v>34002</v>
      </c>
    </row>
    <row r="5388" spans="1:12" x14ac:dyDescent="0.25">
      <c r="A5388" s="3" t="s">
        <v>16971</v>
      </c>
      <c r="B5388" s="4" t="s">
        <v>17211</v>
      </c>
      <c r="C5388" s="4" t="s">
        <v>14</v>
      </c>
      <c r="D5388" s="4" t="s">
        <v>15</v>
      </c>
      <c r="E5388" s="5" t="str">
        <f>"9120239"</f>
        <v>9120239</v>
      </c>
      <c r="F5388" s="3" t="s">
        <v>17253</v>
      </c>
      <c r="G5388" s="5">
        <v>2221053137</v>
      </c>
      <c r="H5388" s="4" t="s">
        <v>17254</v>
      </c>
      <c r="I5388" s="4" t="s">
        <v>17224</v>
      </c>
      <c r="J5388" s="4" t="s">
        <v>17255</v>
      </c>
      <c r="K5388" s="4" t="s">
        <v>17256</v>
      </c>
      <c r="L5388" s="5">
        <v>34100</v>
      </c>
    </row>
    <row r="5389" spans="1:12" x14ac:dyDescent="0.25">
      <c r="A5389" s="3" t="s">
        <v>16971</v>
      </c>
      <c r="B5389" s="4" t="s">
        <v>17211</v>
      </c>
      <c r="C5389" s="4" t="s">
        <v>14</v>
      </c>
      <c r="D5389" s="4" t="s">
        <v>15</v>
      </c>
      <c r="E5389" s="5" t="str">
        <f>"9120410"</f>
        <v>9120410</v>
      </c>
      <c r="F5389" s="3" t="s">
        <v>17257</v>
      </c>
      <c r="G5389" s="5">
        <v>2221054126</v>
      </c>
      <c r="H5389" s="4" t="s">
        <v>17258</v>
      </c>
      <c r="I5389" s="4" t="s">
        <v>17224</v>
      </c>
      <c r="J5389" s="4" t="s">
        <v>17259</v>
      </c>
      <c r="K5389" s="4" t="s">
        <v>17260</v>
      </c>
      <c r="L5389" s="5">
        <v>34002</v>
      </c>
    </row>
    <row r="5390" spans="1:12" x14ac:dyDescent="0.25">
      <c r="A5390" s="3" t="s">
        <v>16971</v>
      </c>
      <c r="B5390" s="4" t="s">
        <v>17211</v>
      </c>
      <c r="C5390" s="4" t="s">
        <v>14</v>
      </c>
      <c r="D5390" s="4" t="s">
        <v>15</v>
      </c>
      <c r="E5390" s="5" t="str">
        <f>"9120242"</f>
        <v>9120242</v>
      </c>
      <c r="F5390" s="3" t="s">
        <v>17261</v>
      </c>
      <c r="G5390" s="5">
        <v>2221052971</v>
      </c>
      <c r="H5390" s="4" t="s">
        <v>17262</v>
      </c>
      <c r="I5390" s="4" t="s">
        <v>17224</v>
      </c>
      <c r="J5390" s="4" t="s">
        <v>17263</v>
      </c>
      <c r="K5390" s="4" t="s">
        <v>17264</v>
      </c>
      <c r="L5390" s="5">
        <v>34100</v>
      </c>
    </row>
    <row r="5391" spans="1:12" x14ac:dyDescent="0.25">
      <c r="A5391" s="3" t="s">
        <v>16971</v>
      </c>
      <c r="B5391" s="4" t="s">
        <v>17211</v>
      </c>
      <c r="C5391" s="4" t="s">
        <v>14</v>
      </c>
      <c r="D5391" s="4" t="s">
        <v>15</v>
      </c>
      <c r="E5391" s="5" t="str">
        <f>"9120074"</f>
        <v>9120074</v>
      </c>
      <c r="F5391" s="3" t="s">
        <v>17265</v>
      </c>
      <c r="G5391" s="5">
        <v>2227041267</v>
      </c>
      <c r="H5391" s="4" t="s">
        <v>17266</v>
      </c>
      <c r="I5391" s="4" t="s">
        <v>17267</v>
      </c>
      <c r="J5391" s="4" t="s">
        <v>17268</v>
      </c>
      <c r="K5391" s="4" t="s">
        <v>17268</v>
      </c>
      <c r="L5391" s="5">
        <v>34004</v>
      </c>
    </row>
    <row r="5392" spans="1:12" x14ac:dyDescent="0.25">
      <c r="A5392" s="3" t="s">
        <v>16971</v>
      </c>
      <c r="B5392" s="4" t="s">
        <v>17211</v>
      </c>
      <c r="C5392" s="4" t="s">
        <v>14</v>
      </c>
      <c r="D5392" s="4" t="s">
        <v>15</v>
      </c>
      <c r="E5392" s="5" t="str">
        <f>"9120230"</f>
        <v>9120230</v>
      </c>
      <c r="F5392" s="3" t="s">
        <v>17269</v>
      </c>
      <c r="G5392" s="5">
        <v>2221086505</v>
      </c>
      <c r="H5392" s="4" t="s">
        <v>17270</v>
      </c>
      <c r="I5392" s="4" t="s">
        <v>17224</v>
      </c>
      <c r="J5392" s="4" t="s">
        <v>17240</v>
      </c>
      <c r="K5392" s="4" t="s">
        <v>17271</v>
      </c>
      <c r="L5392" s="5">
        <v>34132</v>
      </c>
    </row>
    <row r="5393" spans="1:12" x14ac:dyDescent="0.25">
      <c r="A5393" s="3" t="s">
        <v>16971</v>
      </c>
      <c r="B5393" s="4" t="s">
        <v>17211</v>
      </c>
      <c r="C5393" s="4" t="s">
        <v>14</v>
      </c>
      <c r="D5393" s="4" t="s">
        <v>15</v>
      </c>
      <c r="E5393" s="5" t="str">
        <f>"9120427"</f>
        <v>9120427</v>
      </c>
      <c r="F5393" s="3" t="s">
        <v>17272</v>
      </c>
      <c r="G5393" s="5">
        <v>2228023644</v>
      </c>
      <c r="H5393" s="4" t="s">
        <v>17273</v>
      </c>
      <c r="I5393" s="4" t="s">
        <v>17219</v>
      </c>
      <c r="J5393" s="4" t="s">
        <v>17274</v>
      </c>
      <c r="K5393" s="4" t="s">
        <v>17275</v>
      </c>
      <c r="L5393" s="5">
        <v>34400</v>
      </c>
    </row>
    <row r="5394" spans="1:12" x14ac:dyDescent="0.25">
      <c r="A5394" s="3" t="s">
        <v>16971</v>
      </c>
      <c r="B5394" s="4" t="s">
        <v>17211</v>
      </c>
      <c r="C5394" s="4" t="s">
        <v>14</v>
      </c>
      <c r="D5394" s="4" t="s">
        <v>15</v>
      </c>
      <c r="E5394" s="5" t="str">
        <f>"9120264"</f>
        <v>9120264</v>
      </c>
      <c r="F5394" s="3" t="s">
        <v>17276</v>
      </c>
      <c r="G5394" s="5">
        <v>2221055255</v>
      </c>
      <c r="H5394" s="4" t="s">
        <v>17277</v>
      </c>
      <c r="I5394" s="4" t="s">
        <v>17224</v>
      </c>
      <c r="J5394" s="4" t="s">
        <v>17278</v>
      </c>
      <c r="K5394" s="4" t="s">
        <v>17278</v>
      </c>
      <c r="L5394" s="5">
        <v>34100</v>
      </c>
    </row>
    <row r="5395" spans="1:12" x14ac:dyDescent="0.25">
      <c r="A5395" s="3" t="s">
        <v>16971</v>
      </c>
      <c r="B5395" s="4" t="s">
        <v>17211</v>
      </c>
      <c r="C5395" s="4" t="s">
        <v>14</v>
      </c>
      <c r="D5395" s="4" t="s">
        <v>15</v>
      </c>
      <c r="E5395" s="5" t="str">
        <f>"9120003"</f>
        <v>9120003</v>
      </c>
      <c r="F5395" s="3" t="s">
        <v>17279</v>
      </c>
      <c r="G5395" s="5">
        <v>2226052461</v>
      </c>
      <c r="H5395" s="4" t="s">
        <v>17280</v>
      </c>
      <c r="I5395" s="4" t="s">
        <v>17281</v>
      </c>
      <c r="J5395" s="4" t="s">
        <v>17282</v>
      </c>
      <c r="K5395" s="4" t="s">
        <v>17283</v>
      </c>
      <c r="L5395" s="5">
        <v>34200</v>
      </c>
    </row>
    <row r="5396" spans="1:12" x14ac:dyDescent="0.25">
      <c r="A5396" s="3" t="s">
        <v>16971</v>
      </c>
      <c r="B5396" s="4" t="s">
        <v>17211</v>
      </c>
      <c r="C5396" s="4" t="s">
        <v>14</v>
      </c>
      <c r="D5396" s="4" t="s">
        <v>15</v>
      </c>
      <c r="E5396" s="5" t="str">
        <f>"9120269"</f>
        <v>9120269</v>
      </c>
      <c r="F5396" s="3" t="s">
        <v>17284</v>
      </c>
      <c r="G5396" s="5">
        <v>2221028437</v>
      </c>
      <c r="H5396" s="4" t="s">
        <v>17285</v>
      </c>
      <c r="I5396" s="4" t="s">
        <v>17224</v>
      </c>
      <c r="J5396" s="4" t="s">
        <v>17226</v>
      </c>
      <c r="K5396" s="4" t="s">
        <v>17286</v>
      </c>
      <c r="L5396" s="5">
        <v>34100</v>
      </c>
    </row>
    <row r="5397" spans="1:12" x14ac:dyDescent="0.25">
      <c r="A5397" s="3" t="s">
        <v>16971</v>
      </c>
      <c r="B5397" s="4" t="s">
        <v>17211</v>
      </c>
      <c r="C5397" s="4" t="s">
        <v>14</v>
      </c>
      <c r="D5397" s="4" t="s">
        <v>15</v>
      </c>
      <c r="E5397" s="5" t="str">
        <f>"9120434"</f>
        <v>9120434</v>
      </c>
      <c r="F5397" s="3" t="s">
        <v>17287</v>
      </c>
      <c r="G5397" s="5">
        <v>2221086216</v>
      </c>
      <c r="H5397" s="4" t="s">
        <v>17288</v>
      </c>
      <c r="I5397" s="4" t="s">
        <v>17224</v>
      </c>
      <c r="J5397" s="4" t="s">
        <v>17244</v>
      </c>
      <c r="K5397" s="4" t="s">
        <v>17289</v>
      </c>
      <c r="L5397" s="5">
        <v>34133</v>
      </c>
    </row>
    <row r="5398" spans="1:12" ht="30" x14ac:dyDescent="0.25">
      <c r="A5398" s="3" t="s">
        <v>16971</v>
      </c>
      <c r="B5398" s="4" t="s">
        <v>17211</v>
      </c>
      <c r="C5398" s="4" t="s">
        <v>14</v>
      </c>
      <c r="D5398" s="4" t="s">
        <v>15</v>
      </c>
      <c r="E5398" s="5" t="str">
        <f>"9120409"</f>
        <v>9120409</v>
      </c>
      <c r="F5398" s="3" t="s">
        <v>17290</v>
      </c>
      <c r="G5398" s="5">
        <v>2221092645</v>
      </c>
      <c r="H5398" s="4" t="s">
        <v>17291</v>
      </c>
      <c r="I5398" s="4" t="s">
        <v>17224</v>
      </c>
      <c r="J5398" s="4" t="s">
        <v>17240</v>
      </c>
      <c r="K5398" s="4" t="s">
        <v>17292</v>
      </c>
      <c r="L5398" s="5">
        <v>34100</v>
      </c>
    </row>
    <row r="5399" spans="1:12" x14ac:dyDescent="0.25">
      <c r="A5399" s="3" t="s">
        <v>16971</v>
      </c>
      <c r="B5399" s="4" t="s">
        <v>17211</v>
      </c>
      <c r="C5399" s="4" t="s">
        <v>14</v>
      </c>
      <c r="D5399" s="4" t="s">
        <v>179</v>
      </c>
      <c r="E5399" s="5" t="str">
        <f>"9120022"</f>
        <v>9120022</v>
      </c>
      <c r="F5399" s="3" t="s">
        <v>17293</v>
      </c>
      <c r="G5399" s="5">
        <v>2226041425</v>
      </c>
      <c r="H5399" s="4" t="s">
        <v>17294</v>
      </c>
      <c r="I5399" s="4" t="s">
        <v>17281</v>
      </c>
      <c r="J5399" s="4" t="s">
        <v>17295</v>
      </c>
      <c r="K5399" s="4" t="s">
        <v>17295</v>
      </c>
      <c r="L5399" s="5">
        <v>34200</v>
      </c>
    </row>
    <row r="5400" spans="1:12" x14ac:dyDescent="0.25">
      <c r="A5400" s="3" t="s">
        <v>16971</v>
      </c>
      <c r="B5400" s="4" t="s">
        <v>17211</v>
      </c>
      <c r="C5400" s="4" t="s">
        <v>14</v>
      </c>
      <c r="D5400" s="4" t="s">
        <v>15</v>
      </c>
      <c r="E5400" s="5" t="str">
        <f>"9120234"</f>
        <v>9120234</v>
      </c>
      <c r="F5400" s="3" t="s">
        <v>17296</v>
      </c>
      <c r="G5400" s="5">
        <v>2228022528</v>
      </c>
      <c r="H5400" s="4" t="s">
        <v>17297</v>
      </c>
      <c r="I5400" s="4" t="s">
        <v>17219</v>
      </c>
      <c r="J5400" s="4" t="s">
        <v>17298</v>
      </c>
      <c r="K5400" s="4" t="s">
        <v>17299</v>
      </c>
      <c r="L5400" s="5">
        <v>34400</v>
      </c>
    </row>
    <row r="5401" spans="1:12" x14ac:dyDescent="0.25">
      <c r="A5401" s="3" t="s">
        <v>16971</v>
      </c>
      <c r="B5401" s="4" t="s">
        <v>17211</v>
      </c>
      <c r="C5401" s="4" t="s">
        <v>14</v>
      </c>
      <c r="D5401" s="4" t="s">
        <v>15</v>
      </c>
      <c r="E5401" s="5" t="str">
        <f>"9120311"</f>
        <v>9120311</v>
      </c>
      <c r="F5401" s="3" t="s">
        <v>17300</v>
      </c>
      <c r="G5401" s="5">
        <v>2221097131</v>
      </c>
      <c r="H5401" s="4" t="s">
        <v>17301</v>
      </c>
      <c r="I5401" s="4" t="s">
        <v>17224</v>
      </c>
      <c r="J5401" s="4" t="s">
        <v>17302</v>
      </c>
      <c r="K5401" s="4" t="s">
        <v>17303</v>
      </c>
      <c r="L5401" s="5">
        <v>34100</v>
      </c>
    </row>
    <row r="5402" spans="1:12" x14ac:dyDescent="0.25">
      <c r="A5402" s="3" t="s">
        <v>16971</v>
      </c>
      <c r="B5402" s="4" t="s">
        <v>17211</v>
      </c>
      <c r="C5402" s="4" t="s">
        <v>25</v>
      </c>
      <c r="D5402" s="4" t="s">
        <v>26</v>
      </c>
      <c r="E5402" s="5" t="str">
        <f>"9120389"</f>
        <v>9120389</v>
      </c>
      <c r="F5402" s="3" t="s">
        <v>17304</v>
      </c>
      <c r="G5402" s="5">
        <v>2229065000</v>
      </c>
      <c r="H5402" s="4" t="s">
        <v>17305</v>
      </c>
      <c r="I5402" s="4" t="s">
        <v>17214</v>
      </c>
      <c r="J5402" s="4" t="s">
        <v>17215</v>
      </c>
      <c r="K5402" s="4" t="s">
        <v>17215</v>
      </c>
      <c r="L5402" s="5">
        <v>34008</v>
      </c>
    </row>
    <row r="5403" spans="1:12" ht="30" x14ac:dyDescent="0.25">
      <c r="A5403" s="3" t="s">
        <v>16971</v>
      </c>
      <c r="B5403" s="4" t="s">
        <v>17211</v>
      </c>
      <c r="C5403" s="4" t="s">
        <v>14</v>
      </c>
      <c r="D5403" s="4" t="s">
        <v>15</v>
      </c>
      <c r="E5403" s="5" t="str">
        <f>"9120433"</f>
        <v>9120433</v>
      </c>
      <c r="F5403" s="3" t="s">
        <v>17306</v>
      </c>
      <c r="G5403" s="5">
        <v>2221082213</v>
      </c>
      <c r="H5403" s="4" t="s">
        <v>17307</v>
      </c>
      <c r="I5403" s="4" t="s">
        <v>17224</v>
      </c>
      <c r="J5403" s="4" t="s">
        <v>17240</v>
      </c>
      <c r="K5403" s="4" t="s">
        <v>17308</v>
      </c>
      <c r="L5403" s="5">
        <v>34100</v>
      </c>
    </row>
    <row r="5404" spans="1:12" x14ac:dyDescent="0.25">
      <c r="A5404" s="3" t="s">
        <v>16971</v>
      </c>
      <c r="B5404" s="4" t="s">
        <v>17211</v>
      </c>
      <c r="C5404" s="4" t="s">
        <v>25</v>
      </c>
      <c r="D5404" s="4" t="s">
        <v>26</v>
      </c>
      <c r="E5404" s="5" t="str">
        <f>"9120372"</f>
        <v>9120372</v>
      </c>
      <c r="F5404" s="3" t="s">
        <v>17309</v>
      </c>
      <c r="G5404" s="5">
        <v>2221043067</v>
      </c>
      <c r="H5404" s="4" t="s">
        <v>17310</v>
      </c>
      <c r="I5404" s="4" t="s">
        <v>17224</v>
      </c>
      <c r="J5404" s="4" t="s">
        <v>17311</v>
      </c>
      <c r="K5404" s="4" t="s">
        <v>17312</v>
      </c>
      <c r="L5404" s="5">
        <v>34600</v>
      </c>
    </row>
    <row r="5405" spans="1:12" x14ac:dyDescent="0.25">
      <c r="A5405" s="3" t="s">
        <v>16971</v>
      </c>
      <c r="B5405" s="4" t="s">
        <v>17211</v>
      </c>
      <c r="C5405" s="4" t="s">
        <v>25</v>
      </c>
      <c r="D5405" s="4" t="s">
        <v>26</v>
      </c>
      <c r="E5405" s="5" t="str">
        <f>"9120219"</f>
        <v>9120219</v>
      </c>
      <c r="F5405" s="3" t="s">
        <v>17313</v>
      </c>
      <c r="G5405" s="5">
        <v>2221076040</v>
      </c>
      <c r="H5405" s="4" t="s">
        <v>17314</v>
      </c>
      <c r="I5405" s="4" t="s">
        <v>17224</v>
      </c>
      <c r="J5405" s="4" t="s">
        <v>17240</v>
      </c>
      <c r="K5405" s="4" t="s">
        <v>17315</v>
      </c>
      <c r="L5405" s="5">
        <v>34132</v>
      </c>
    </row>
    <row r="5406" spans="1:12" x14ac:dyDescent="0.25">
      <c r="A5406" s="3" t="s">
        <v>16971</v>
      </c>
      <c r="B5406" s="4" t="s">
        <v>17211</v>
      </c>
      <c r="C5406" s="4" t="s">
        <v>25</v>
      </c>
      <c r="D5406" s="4" t="s">
        <v>26</v>
      </c>
      <c r="E5406" s="5" t="str">
        <f>"9120223"</f>
        <v>9120223</v>
      </c>
      <c r="F5406" s="3" t="s">
        <v>17316</v>
      </c>
      <c r="G5406" s="5">
        <v>2221087216</v>
      </c>
      <c r="H5406" s="4" t="s">
        <v>17317</v>
      </c>
      <c r="I5406" s="4" t="s">
        <v>17224</v>
      </c>
      <c r="J5406" s="4" t="s">
        <v>17240</v>
      </c>
      <c r="K5406" s="4" t="s">
        <v>17318</v>
      </c>
      <c r="L5406" s="5">
        <v>34100</v>
      </c>
    </row>
    <row r="5407" spans="1:12" x14ac:dyDescent="0.25">
      <c r="A5407" s="3" t="s">
        <v>16971</v>
      </c>
      <c r="B5407" s="4" t="s">
        <v>17211</v>
      </c>
      <c r="C5407" s="4" t="s">
        <v>14</v>
      </c>
      <c r="D5407" s="4" t="s">
        <v>15</v>
      </c>
      <c r="E5407" s="5" t="str">
        <f>"9120421"</f>
        <v>9120421</v>
      </c>
      <c r="F5407" s="3" t="s">
        <v>17319</v>
      </c>
      <c r="G5407" s="5">
        <v>2221043331</v>
      </c>
      <c r="H5407" s="4" t="s">
        <v>17320</v>
      </c>
      <c r="I5407" s="4" t="s">
        <v>17224</v>
      </c>
      <c r="J5407" s="4" t="s">
        <v>17311</v>
      </c>
      <c r="K5407" s="4" t="s">
        <v>17321</v>
      </c>
      <c r="L5407" s="5">
        <v>34600</v>
      </c>
    </row>
    <row r="5408" spans="1:12" x14ac:dyDescent="0.25">
      <c r="A5408" s="3" t="s">
        <v>16971</v>
      </c>
      <c r="B5408" s="4" t="s">
        <v>17211</v>
      </c>
      <c r="C5408" s="4" t="s">
        <v>14</v>
      </c>
      <c r="D5408" s="4" t="s">
        <v>15</v>
      </c>
      <c r="E5408" s="5" t="str">
        <f>"9120232"</f>
        <v>9120232</v>
      </c>
      <c r="F5408" s="3" t="s">
        <v>17322</v>
      </c>
      <c r="G5408" s="5">
        <v>2221023200</v>
      </c>
      <c r="H5408" s="4" t="s">
        <v>17323</v>
      </c>
      <c r="I5408" s="4" t="s">
        <v>17224</v>
      </c>
      <c r="J5408" s="4" t="s">
        <v>17240</v>
      </c>
      <c r="K5408" s="4" t="s">
        <v>17324</v>
      </c>
      <c r="L5408" s="5">
        <v>34100</v>
      </c>
    </row>
    <row r="5409" spans="1:12" x14ac:dyDescent="0.25">
      <c r="A5409" s="3" t="s">
        <v>16971</v>
      </c>
      <c r="B5409" s="4" t="s">
        <v>17211</v>
      </c>
      <c r="C5409" s="4" t="s">
        <v>14</v>
      </c>
      <c r="D5409" s="4" t="s">
        <v>15</v>
      </c>
      <c r="E5409" s="5" t="str">
        <f>"9120214"</f>
        <v>9120214</v>
      </c>
      <c r="F5409" s="3" t="s">
        <v>17325</v>
      </c>
      <c r="G5409" s="5">
        <v>2221023180</v>
      </c>
      <c r="H5409" s="4" t="s">
        <v>17326</v>
      </c>
      <c r="I5409" s="4" t="s">
        <v>17224</v>
      </c>
      <c r="J5409" s="4" t="s">
        <v>17240</v>
      </c>
      <c r="K5409" s="4" t="s">
        <v>17318</v>
      </c>
      <c r="L5409" s="5">
        <v>34132</v>
      </c>
    </row>
    <row r="5410" spans="1:12" x14ac:dyDescent="0.25">
      <c r="A5410" s="3" t="s">
        <v>16971</v>
      </c>
      <c r="B5410" s="4" t="s">
        <v>17211</v>
      </c>
      <c r="C5410" s="4" t="s">
        <v>25</v>
      </c>
      <c r="D5410" s="4" t="s">
        <v>26</v>
      </c>
      <c r="E5410" s="5" t="str">
        <f>"9120390"</f>
        <v>9120390</v>
      </c>
      <c r="F5410" s="3" t="s">
        <v>17327</v>
      </c>
      <c r="G5410" s="5">
        <v>2221086104</v>
      </c>
      <c r="H5410" s="4" t="s">
        <v>17328</v>
      </c>
      <c r="I5410" s="4" t="s">
        <v>17224</v>
      </c>
      <c r="J5410" s="4" t="s">
        <v>17240</v>
      </c>
      <c r="K5410" s="4" t="s">
        <v>17329</v>
      </c>
      <c r="L5410" s="5">
        <v>34100</v>
      </c>
    </row>
    <row r="5411" spans="1:12" x14ac:dyDescent="0.25">
      <c r="A5411" s="3" t="s">
        <v>16971</v>
      </c>
      <c r="B5411" s="4" t="s">
        <v>17211</v>
      </c>
      <c r="C5411" s="4" t="s">
        <v>14</v>
      </c>
      <c r="D5411" s="4" t="s">
        <v>15</v>
      </c>
      <c r="E5411" s="5" t="str">
        <f>"9120255"</f>
        <v>9120255</v>
      </c>
      <c r="F5411" s="3" t="s">
        <v>17330</v>
      </c>
      <c r="G5411" s="5">
        <v>2228022792</v>
      </c>
      <c r="H5411" s="4" t="s">
        <v>17331</v>
      </c>
      <c r="I5411" s="4" t="s">
        <v>17219</v>
      </c>
      <c r="J5411" s="4" t="s">
        <v>17332</v>
      </c>
      <c r="K5411" s="4" t="s">
        <v>17332</v>
      </c>
      <c r="L5411" s="5">
        <v>34400</v>
      </c>
    </row>
    <row r="5412" spans="1:12" x14ac:dyDescent="0.25">
      <c r="A5412" s="3" t="s">
        <v>16971</v>
      </c>
      <c r="B5412" s="4" t="s">
        <v>17211</v>
      </c>
      <c r="C5412" s="4" t="s">
        <v>14</v>
      </c>
      <c r="D5412" s="4" t="s">
        <v>15</v>
      </c>
      <c r="E5412" s="5" t="str">
        <f>"9120450"</f>
        <v>9120450</v>
      </c>
      <c r="F5412" s="3" t="s">
        <v>17333</v>
      </c>
      <c r="G5412" s="5">
        <v>2221044102</v>
      </c>
      <c r="H5412" s="4" t="s">
        <v>17334</v>
      </c>
      <c r="I5412" s="4" t="s">
        <v>17224</v>
      </c>
      <c r="J5412" s="4" t="s">
        <v>17335</v>
      </c>
      <c r="K5412" s="4" t="s">
        <v>17336</v>
      </c>
      <c r="L5412" s="5">
        <v>34600</v>
      </c>
    </row>
    <row r="5413" spans="1:12" x14ac:dyDescent="0.25">
      <c r="A5413" s="3" t="s">
        <v>16971</v>
      </c>
      <c r="B5413" s="4" t="s">
        <v>17211</v>
      </c>
      <c r="C5413" s="4" t="s">
        <v>25</v>
      </c>
      <c r="D5413" s="4" t="s">
        <v>26</v>
      </c>
      <c r="E5413" s="5" t="str">
        <f>"9120405"</f>
        <v>9120405</v>
      </c>
      <c r="F5413" s="3" t="s">
        <v>17337</v>
      </c>
      <c r="G5413" s="5">
        <v>2221087450</v>
      </c>
      <c r="H5413" s="4" t="s">
        <v>17338</v>
      </c>
      <c r="I5413" s="4" t="s">
        <v>17224</v>
      </c>
      <c r="J5413" s="4" t="s">
        <v>17339</v>
      </c>
      <c r="K5413" s="4" t="s">
        <v>17340</v>
      </c>
      <c r="L5413" s="5">
        <v>34100</v>
      </c>
    </row>
    <row r="5414" spans="1:12" x14ac:dyDescent="0.25">
      <c r="A5414" s="3" t="s">
        <v>16971</v>
      </c>
      <c r="B5414" s="4" t="s">
        <v>17211</v>
      </c>
      <c r="C5414" s="4" t="s">
        <v>14</v>
      </c>
      <c r="D5414" s="4" t="s">
        <v>15</v>
      </c>
      <c r="E5414" s="5" t="str">
        <f>"9120107"</f>
        <v>9120107</v>
      </c>
      <c r="F5414" s="3" t="s">
        <v>17341</v>
      </c>
      <c r="G5414" s="5">
        <v>2224031587</v>
      </c>
      <c r="H5414" s="4" t="s">
        <v>17342</v>
      </c>
      <c r="I5414" s="4" t="s">
        <v>17343</v>
      </c>
      <c r="J5414" s="4" t="s">
        <v>17344</v>
      </c>
      <c r="K5414" s="4" t="s">
        <v>17344</v>
      </c>
      <c r="L5414" s="5">
        <v>34013</v>
      </c>
    </row>
    <row r="5415" spans="1:12" x14ac:dyDescent="0.25">
      <c r="A5415" s="3" t="s">
        <v>16971</v>
      </c>
      <c r="B5415" s="4" t="s">
        <v>17211</v>
      </c>
      <c r="C5415" s="4" t="s">
        <v>25</v>
      </c>
      <c r="D5415" s="4" t="s">
        <v>26</v>
      </c>
      <c r="E5415" s="5" t="str">
        <f>"9120222"</f>
        <v>9120222</v>
      </c>
      <c r="F5415" s="3" t="s">
        <v>17345</v>
      </c>
      <c r="G5415" s="5">
        <v>2221027911</v>
      </c>
      <c r="H5415" s="4" t="s">
        <v>17346</v>
      </c>
      <c r="I5415" s="4" t="s">
        <v>17224</v>
      </c>
      <c r="J5415" s="4" t="s">
        <v>17339</v>
      </c>
      <c r="K5415" s="4" t="s">
        <v>17347</v>
      </c>
      <c r="L5415" s="5">
        <v>34100</v>
      </c>
    </row>
    <row r="5416" spans="1:12" x14ac:dyDescent="0.25">
      <c r="A5416" s="3" t="s">
        <v>16971</v>
      </c>
      <c r="B5416" s="4" t="s">
        <v>17211</v>
      </c>
      <c r="C5416" s="4" t="s">
        <v>25</v>
      </c>
      <c r="D5416" s="4" t="s">
        <v>26</v>
      </c>
      <c r="E5416" s="5" t="str">
        <f>"9120048"</f>
        <v>9120048</v>
      </c>
      <c r="F5416" s="3" t="s">
        <v>17348</v>
      </c>
      <c r="G5416" s="5">
        <v>2227032683</v>
      </c>
      <c r="H5416" s="4" t="s">
        <v>17349</v>
      </c>
      <c r="I5416" s="4" t="s">
        <v>17267</v>
      </c>
      <c r="J5416" s="4" t="s">
        <v>17350</v>
      </c>
      <c r="K5416" s="4" t="s">
        <v>17351</v>
      </c>
      <c r="L5416" s="5">
        <v>34005</v>
      </c>
    </row>
    <row r="5417" spans="1:12" x14ac:dyDescent="0.25">
      <c r="A5417" s="3" t="s">
        <v>16971</v>
      </c>
      <c r="B5417" s="4" t="s">
        <v>17211</v>
      </c>
      <c r="C5417" s="4" t="s">
        <v>14</v>
      </c>
      <c r="D5417" s="4" t="s">
        <v>15</v>
      </c>
      <c r="E5417" s="5" t="str">
        <f>"9120201"</f>
        <v>9120201</v>
      </c>
      <c r="F5417" s="3" t="s">
        <v>17352</v>
      </c>
      <c r="G5417" s="5">
        <v>2229036201</v>
      </c>
      <c r="H5417" s="4" t="s">
        <v>17353</v>
      </c>
      <c r="I5417" s="4" t="s">
        <v>17214</v>
      </c>
      <c r="J5417" s="4" t="s">
        <v>17354</v>
      </c>
      <c r="K5417" s="4" t="s">
        <v>17355</v>
      </c>
      <c r="L5417" s="5">
        <v>34006</v>
      </c>
    </row>
    <row r="5418" spans="1:12" x14ac:dyDescent="0.25">
      <c r="A5418" s="3" t="s">
        <v>16971</v>
      </c>
      <c r="B5418" s="4" t="s">
        <v>17211</v>
      </c>
      <c r="C5418" s="4" t="s">
        <v>14</v>
      </c>
      <c r="D5418" s="4" t="s">
        <v>15</v>
      </c>
      <c r="E5418" s="5" t="str">
        <f>"9120249"</f>
        <v>9120249</v>
      </c>
      <c r="F5418" s="3" t="s">
        <v>17356</v>
      </c>
      <c r="G5418" s="5">
        <v>2229064463</v>
      </c>
      <c r="H5418" s="4" t="s">
        <v>17357</v>
      </c>
      <c r="I5418" s="4" t="s">
        <v>17214</v>
      </c>
      <c r="J5418" s="4" t="s">
        <v>17215</v>
      </c>
      <c r="K5418" s="4" t="s">
        <v>17358</v>
      </c>
      <c r="L5418" s="5">
        <v>34008</v>
      </c>
    </row>
    <row r="5419" spans="1:12" x14ac:dyDescent="0.25">
      <c r="A5419" s="3" t="s">
        <v>16971</v>
      </c>
      <c r="B5419" s="4" t="s">
        <v>17211</v>
      </c>
      <c r="C5419" s="4" t="s">
        <v>25</v>
      </c>
      <c r="D5419" s="4" t="s">
        <v>26</v>
      </c>
      <c r="E5419" s="5" t="str">
        <f>"9120228"</f>
        <v>9120228</v>
      </c>
      <c r="F5419" s="3" t="s">
        <v>17359</v>
      </c>
      <c r="G5419" s="5">
        <v>2221025720</v>
      </c>
      <c r="H5419" s="4" t="s">
        <v>17360</v>
      </c>
      <c r="I5419" s="4" t="s">
        <v>17224</v>
      </c>
      <c r="J5419" s="4" t="s">
        <v>17339</v>
      </c>
      <c r="K5419" s="4" t="s">
        <v>17361</v>
      </c>
      <c r="L5419" s="5">
        <v>34100</v>
      </c>
    </row>
    <row r="5420" spans="1:12" x14ac:dyDescent="0.25">
      <c r="A5420" s="3" t="s">
        <v>16971</v>
      </c>
      <c r="B5420" s="4" t="s">
        <v>17211</v>
      </c>
      <c r="C5420" s="4" t="s">
        <v>25</v>
      </c>
      <c r="D5420" s="4" t="s">
        <v>26</v>
      </c>
      <c r="E5420" s="5" t="str">
        <f>"9120300"</f>
        <v>9120300</v>
      </c>
      <c r="F5420" s="3" t="s">
        <v>17362</v>
      </c>
      <c r="G5420" s="5">
        <v>2221083607</v>
      </c>
      <c r="H5420" s="4" t="s">
        <v>17363</v>
      </c>
      <c r="I5420" s="4" t="s">
        <v>17224</v>
      </c>
      <c r="J5420" s="4" t="s">
        <v>17339</v>
      </c>
      <c r="K5420" s="4" t="s">
        <v>17364</v>
      </c>
      <c r="L5420" s="5">
        <v>34100</v>
      </c>
    </row>
    <row r="5421" spans="1:12" x14ac:dyDescent="0.25">
      <c r="A5421" s="3" t="s">
        <v>16971</v>
      </c>
      <c r="B5421" s="4" t="s">
        <v>17211</v>
      </c>
      <c r="C5421" s="4" t="s">
        <v>14</v>
      </c>
      <c r="D5421" s="4" t="s">
        <v>15</v>
      </c>
      <c r="E5421" s="5" t="str">
        <f>"9120309"</f>
        <v>9120309</v>
      </c>
      <c r="F5421" s="3" t="s">
        <v>17365</v>
      </c>
      <c r="G5421" s="5">
        <v>2221031238</v>
      </c>
      <c r="H5421" s="4" t="s">
        <v>17366</v>
      </c>
      <c r="I5421" s="4" t="s">
        <v>17224</v>
      </c>
      <c r="J5421" s="4" t="s">
        <v>17367</v>
      </c>
      <c r="K5421" s="4" t="s">
        <v>17368</v>
      </c>
      <c r="L5421" s="5">
        <v>34100</v>
      </c>
    </row>
    <row r="5422" spans="1:12" x14ac:dyDescent="0.25">
      <c r="A5422" s="3" t="s">
        <v>16971</v>
      </c>
      <c r="B5422" s="4" t="s">
        <v>17211</v>
      </c>
      <c r="C5422" s="4" t="s">
        <v>14</v>
      </c>
      <c r="D5422" s="4" t="s">
        <v>15</v>
      </c>
      <c r="E5422" s="5" t="str">
        <f>"9120314"</f>
        <v>9120314</v>
      </c>
      <c r="F5422" s="3" t="s">
        <v>17369</v>
      </c>
      <c r="G5422" s="5">
        <v>2221031442</v>
      </c>
      <c r="H5422" s="4" t="s">
        <v>17370</v>
      </c>
      <c r="I5422" s="4" t="s">
        <v>17224</v>
      </c>
      <c r="J5422" s="4" t="s">
        <v>17371</v>
      </c>
      <c r="K5422" s="4" t="s">
        <v>17371</v>
      </c>
      <c r="L5422" s="5">
        <v>34100</v>
      </c>
    </row>
    <row r="5423" spans="1:12" x14ac:dyDescent="0.25">
      <c r="A5423" s="3" t="s">
        <v>16971</v>
      </c>
      <c r="B5423" s="4" t="s">
        <v>17211</v>
      </c>
      <c r="C5423" s="4" t="s">
        <v>14</v>
      </c>
      <c r="D5423" s="4" t="s">
        <v>15</v>
      </c>
      <c r="E5423" s="5" t="str">
        <f>"9120213"</f>
        <v>9120213</v>
      </c>
      <c r="F5423" s="3" t="s">
        <v>17372</v>
      </c>
      <c r="G5423" s="5">
        <v>2221023032</v>
      </c>
      <c r="H5423" s="4" t="s">
        <v>17373</v>
      </c>
      <c r="I5423" s="4" t="s">
        <v>17224</v>
      </c>
      <c r="J5423" s="4" t="s">
        <v>17240</v>
      </c>
      <c r="K5423" s="4" t="s">
        <v>17374</v>
      </c>
      <c r="L5423" s="5">
        <v>34133</v>
      </c>
    </row>
    <row r="5424" spans="1:12" x14ac:dyDescent="0.25">
      <c r="A5424" s="3" t="s">
        <v>16971</v>
      </c>
      <c r="B5424" s="4" t="s">
        <v>17211</v>
      </c>
      <c r="C5424" s="4" t="s">
        <v>14</v>
      </c>
      <c r="D5424" s="4" t="s">
        <v>15</v>
      </c>
      <c r="E5424" s="5" t="str">
        <f>"9120220"</f>
        <v>9120220</v>
      </c>
      <c r="F5424" s="3" t="s">
        <v>17375</v>
      </c>
      <c r="G5424" s="5">
        <v>2221022176</v>
      </c>
      <c r="H5424" s="4" t="s">
        <v>17376</v>
      </c>
      <c r="I5424" s="4" t="s">
        <v>17224</v>
      </c>
      <c r="J5424" s="4" t="s">
        <v>17240</v>
      </c>
      <c r="K5424" s="4" t="s">
        <v>17377</v>
      </c>
      <c r="L5424" s="5">
        <v>34100</v>
      </c>
    </row>
    <row r="5425" spans="1:12" x14ac:dyDescent="0.25">
      <c r="A5425" s="3" t="s">
        <v>16971</v>
      </c>
      <c r="B5425" s="4" t="s">
        <v>17211</v>
      </c>
      <c r="C5425" s="4" t="s">
        <v>14</v>
      </c>
      <c r="D5425" s="4" t="s">
        <v>15</v>
      </c>
      <c r="E5425" s="5" t="str">
        <f>"9120224"</f>
        <v>9120224</v>
      </c>
      <c r="F5425" s="3" t="s">
        <v>17378</v>
      </c>
      <c r="G5425" s="5">
        <v>2221024133</v>
      </c>
      <c r="H5425" s="4" t="s">
        <v>17379</v>
      </c>
      <c r="I5425" s="4" t="s">
        <v>17224</v>
      </c>
      <c r="J5425" s="4" t="s">
        <v>17240</v>
      </c>
      <c r="K5425" s="4" t="s">
        <v>17380</v>
      </c>
      <c r="L5425" s="5">
        <v>34132</v>
      </c>
    </row>
    <row r="5426" spans="1:12" x14ac:dyDescent="0.25">
      <c r="A5426" s="3" t="s">
        <v>16971</v>
      </c>
      <c r="B5426" s="4" t="s">
        <v>17211</v>
      </c>
      <c r="C5426" s="4" t="s">
        <v>14</v>
      </c>
      <c r="D5426" s="4" t="s">
        <v>15</v>
      </c>
      <c r="E5426" s="5" t="str">
        <f>"9120227"</f>
        <v>9120227</v>
      </c>
      <c r="F5426" s="3" t="s">
        <v>17381</v>
      </c>
      <c r="G5426" s="5">
        <v>2221023345</v>
      </c>
      <c r="H5426" s="4" t="s">
        <v>17382</v>
      </c>
      <c r="I5426" s="4" t="s">
        <v>17224</v>
      </c>
      <c r="J5426" s="4" t="s">
        <v>17240</v>
      </c>
      <c r="K5426" s="4" t="s">
        <v>17383</v>
      </c>
      <c r="L5426" s="5">
        <v>34100</v>
      </c>
    </row>
    <row r="5427" spans="1:12" x14ac:dyDescent="0.25">
      <c r="A5427" s="3" t="s">
        <v>16971</v>
      </c>
      <c r="B5427" s="4" t="s">
        <v>17211</v>
      </c>
      <c r="C5427" s="4" t="s">
        <v>14</v>
      </c>
      <c r="D5427" s="4" t="s">
        <v>15</v>
      </c>
      <c r="E5427" s="5" t="str">
        <f>"9120215"</f>
        <v>9120215</v>
      </c>
      <c r="F5427" s="3" t="s">
        <v>17384</v>
      </c>
      <c r="G5427" s="5">
        <v>2221024808</v>
      </c>
      <c r="H5427" s="4" t="s">
        <v>17385</v>
      </c>
      <c r="I5427" s="4" t="s">
        <v>17224</v>
      </c>
      <c r="J5427" s="4" t="s">
        <v>17240</v>
      </c>
      <c r="K5427" s="4" t="s">
        <v>17386</v>
      </c>
      <c r="L5427" s="5">
        <v>34100</v>
      </c>
    </row>
    <row r="5428" spans="1:12" x14ac:dyDescent="0.25">
      <c r="A5428" s="3" t="s">
        <v>16971</v>
      </c>
      <c r="B5428" s="4" t="s">
        <v>17211</v>
      </c>
      <c r="C5428" s="4" t="s">
        <v>14</v>
      </c>
      <c r="D5428" s="4" t="s">
        <v>15</v>
      </c>
      <c r="E5428" s="5" t="str">
        <f>"9120217"</f>
        <v>9120217</v>
      </c>
      <c r="F5428" s="3" t="s">
        <v>17387</v>
      </c>
      <c r="G5428" s="5">
        <v>2221027122</v>
      </c>
      <c r="H5428" s="4" t="s">
        <v>17388</v>
      </c>
      <c r="I5428" s="4" t="s">
        <v>17224</v>
      </c>
      <c r="J5428" s="4" t="s">
        <v>17240</v>
      </c>
      <c r="K5428" s="4" t="s">
        <v>17389</v>
      </c>
      <c r="L5428" s="5">
        <v>34100</v>
      </c>
    </row>
    <row r="5429" spans="1:12" x14ac:dyDescent="0.25">
      <c r="A5429" s="3" t="s">
        <v>16971</v>
      </c>
      <c r="B5429" s="4" t="s">
        <v>17211</v>
      </c>
      <c r="C5429" s="4" t="s">
        <v>14</v>
      </c>
      <c r="D5429" s="4" t="s">
        <v>15</v>
      </c>
      <c r="E5429" s="5" t="str">
        <f>"9120218"</f>
        <v>9120218</v>
      </c>
      <c r="F5429" s="3" t="s">
        <v>17390</v>
      </c>
      <c r="G5429" s="5">
        <v>2221025628</v>
      </c>
      <c r="H5429" s="4" t="s">
        <v>17391</v>
      </c>
      <c r="I5429" s="4" t="s">
        <v>17224</v>
      </c>
      <c r="J5429" s="4" t="s">
        <v>17240</v>
      </c>
      <c r="K5429" s="4" t="s">
        <v>17392</v>
      </c>
      <c r="L5429" s="5">
        <v>34100</v>
      </c>
    </row>
    <row r="5430" spans="1:12" x14ac:dyDescent="0.25">
      <c r="A5430" s="3" t="s">
        <v>16971</v>
      </c>
      <c r="B5430" s="4" t="s">
        <v>17211</v>
      </c>
      <c r="C5430" s="4" t="s">
        <v>14</v>
      </c>
      <c r="D5430" s="4" t="s">
        <v>15</v>
      </c>
      <c r="E5430" s="5" t="str">
        <f>"9120400"</f>
        <v>9120400</v>
      </c>
      <c r="F5430" s="3" t="s">
        <v>17393</v>
      </c>
      <c r="G5430" s="5">
        <v>2221023101</v>
      </c>
      <c r="H5430" s="4" t="s">
        <v>17394</v>
      </c>
      <c r="I5430" s="4" t="s">
        <v>17224</v>
      </c>
      <c r="J5430" s="4" t="s">
        <v>17240</v>
      </c>
      <c r="K5430" s="4" t="s">
        <v>17395</v>
      </c>
      <c r="L5430" s="5">
        <v>34100</v>
      </c>
    </row>
    <row r="5431" spans="1:12" x14ac:dyDescent="0.25">
      <c r="A5431" s="3" t="s">
        <v>16971</v>
      </c>
      <c r="B5431" s="4" t="s">
        <v>17211</v>
      </c>
      <c r="C5431" s="4" t="s">
        <v>25</v>
      </c>
      <c r="D5431" s="4" t="s">
        <v>26</v>
      </c>
      <c r="E5431" s="5" t="str">
        <f>"9120345"</f>
        <v>9120345</v>
      </c>
      <c r="F5431" s="3" t="s">
        <v>17396</v>
      </c>
      <c r="G5431" s="5">
        <v>2221032374</v>
      </c>
      <c r="H5431" s="4" t="s">
        <v>17397</v>
      </c>
      <c r="I5431" s="4" t="s">
        <v>17224</v>
      </c>
      <c r="J5431" s="4" t="s">
        <v>17398</v>
      </c>
      <c r="K5431" s="4" t="s">
        <v>17399</v>
      </c>
      <c r="L5431" s="5">
        <v>34100</v>
      </c>
    </row>
    <row r="5432" spans="1:12" x14ac:dyDescent="0.25">
      <c r="A5432" s="3" t="s">
        <v>16971</v>
      </c>
      <c r="B5432" s="4" t="s">
        <v>17211</v>
      </c>
      <c r="C5432" s="4" t="s">
        <v>25</v>
      </c>
      <c r="D5432" s="4" t="s">
        <v>26</v>
      </c>
      <c r="E5432" s="5" t="str">
        <f>"9120310"</f>
        <v>9120310</v>
      </c>
      <c r="F5432" s="3" t="s">
        <v>17400</v>
      </c>
      <c r="G5432" s="5">
        <v>2221032202</v>
      </c>
      <c r="H5432" s="4" t="s">
        <v>17401</v>
      </c>
      <c r="I5432" s="4" t="s">
        <v>17224</v>
      </c>
      <c r="J5432" s="4" t="s">
        <v>17402</v>
      </c>
      <c r="K5432" s="4" t="s">
        <v>17403</v>
      </c>
      <c r="L5432" s="5">
        <v>34100</v>
      </c>
    </row>
    <row r="5433" spans="1:12" x14ac:dyDescent="0.25">
      <c r="A5433" s="3" t="s">
        <v>16971</v>
      </c>
      <c r="B5433" s="4" t="s">
        <v>17211</v>
      </c>
      <c r="C5433" s="4" t="s">
        <v>25</v>
      </c>
      <c r="D5433" s="4" t="s">
        <v>26</v>
      </c>
      <c r="E5433" s="5" t="str">
        <f>"9120226"</f>
        <v>9120226</v>
      </c>
      <c r="F5433" s="3" t="s">
        <v>17404</v>
      </c>
      <c r="G5433" s="5">
        <v>2221077222</v>
      </c>
      <c r="H5433" s="4" t="s">
        <v>17405</v>
      </c>
      <c r="I5433" s="4" t="s">
        <v>17224</v>
      </c>
      <c r="J5433" s="4" t="s">
        <v>17339</v>
      </c>
      <c r="K5433" s="4" t="s">
        <v>17406</v>
      </c>
      <c r="L5433" s="5">
        <v>34100</v>
      </c>
    </row>
    <row r="5434" spans="1:12" x14ac:dyDescent="0.25">
      <c r="A5434" s="3" t="s">
        <v>16971</v>
      </c>
      <c r="B5434" s="4" t="s">
        <v>17211</v>
      </c>
      <c r="C5434" s="4" t="s">
        <v>25</v>
      </c>
      <c r="D5434" s="4" t="s">
        <v>26</v>
      </c>
      <c r="E5434" s="5" t="str">
        <f>"9120229"</f>
        <v>9120229</v>
      </c>
      <c r="F5434" s="3" t="s">
        <v>17407</v>
      </c>
      <c r="G5434" s="5">
        <v>2221350533</v>
      </c>
      <c r="H5434" s="4" t="s">
        <v>17408</v>
      </c>
      <c r="I5434" s="4" t="s">
        <v>17224</v>
      </c>
      <c r="J5434" s="4" t="s">
        <v>17339</v>
      </c>
      <c r="K5434" s="4" t="s">
        <v>17409</v>
      </c>
      <c r="L5434" s="5">
        <v>34133</v>
      </c>
    </row>
    <row r="5435" spans="1:12" x14ac:dyDescent="0.25">
      <c r="A5435" s="3" t="s">
        <v>16971</v>
      </c>
      <c r="B5435" s="4" t="s">
        <v>17211</v>
      </c>
      <c r="C5435" s="4" t="s">
        <v>25</v>
      </c>
      <c r="D5435" s="4" t="s">
        <v>26</v>
      </c>
      <c r="E5435" s="5" t="str">
        <f>"9120297"</f>
        <v>9120297</v>
      </c>
      <c r="F5435" s="3" t="s">
        <v>17410</v>
      </c>
      <c r="G5435" s="5">
        <v>2221075866</v>
      </c>
      <c r="H5435" s="4" t="s">
        <v>17411</v>
      </c>
      <c r="I5435" s="4" t="s">
        <v>17224</v>
      </c>
      <c r="J5435" s="4" t="s">
        <v>17339</v>
      </c>
      <c r="K5435" s="4" t="s">
        <v>17412</v>
      </c>
      <c r="L5435" s="5">
        <v>34100</v>
      </c>
    </row>
    <row r="5436" spans="1:12" x14ac:dyDescent="0.25">
      <c r="A5436" s="3" t="s">
        <v>16971</v>
      </c>
      <c r="B5436" s="4" t="s">
        <v>17211</v>
      </c>
      <c r="C5436" s="4" t="s">
        <v>25</v>
      </c>
      <c r="D5436" s="4" t="s">
        <v>26</v>
      </c>
      <c r="E5436" s="5" t="str">
        <f>"9120394"</f>
        <v>9120394</v>
      </c>
      <c r="F5436" s="3" t="s">
        <v>17413</v>
      </c>
      <c r="G5436" s="5">
        <v>2221088780</v>
      </c>
      <c r="H5436" s="4" t="s">
        <v>17414</v>
      </c>
      <c r="I5436" s="4" t="s">
        <v>17224</v>
      </c>
      <c r="J5436" s="4" t="s">
        <v>17339</v>
      </c>
      <c r="K5436" s="4" t="s">
        <v>17415</v>
      </c>
      <c r="L5436" s="5">
        <v>34100</v>
      </c>
    </row>
    <row r="5437" spans="1:12" x14ac:dyDescent="0.25">
      <c r="A5437" s="3" t="s">
        <v>16971</v>
      </c>
      <c r="B5437" s="4" t="s">
        <v>17211</v>
      </c>
      <c r="C5437" s="4" t="s">
        <v>25</v>
      </c>
      <c r="D5437" s="4" t="s">
        <v>26</v>
      </c>
      <c r="E5437" s="5" t="str">
        <f>"9120777"</f>
        <v>9120777</v>
      </c>
      <c r="F5437" s="3" t="s">
        <v>17416</v>
      </c>
      <c r="G5437" s="5">
        <v>2221082095</v>
      </c>
      <c r="H5437" s="4" t="s">
        <v>17417</v>
      </c>
      <c r="I5437" s="4" t="s">
        <v>17224</v>
      </c>
      <c r="J5437" s="4" t="s">
        <v>17339</v>
      </c>
      <c r="K5437" s="4" t="s">
        <v>17418</v>
      </c>
      <c r="L5437" s="5">
        <v>34100</v>
      </c>
    </row>
    <row r="5438" spans="1:12" x14ac:dyDescent="0.25">
      <c r="A5438" s="3" t="s">
        <v>16971</v>
      </c>
      <c r="B5438" s="4" t="s">
        <v>17211</v>
      </c>
      <c r="C5438" s="4" t="s">
        <v>25</v>
      </c>
      <c r="D5438" s="4" t="s">
        <v>26</v>
      </c>
      <c r="E5438" s="5" t="str">
        <f>"9120319"</f>
        <v>9120319</v>
      </c>
      <c r="F5438" s="3" t="s">
        <v>17419</v>
      </c>
      <c r="G5438" s="5">
        <v>2226055848</v>
      </c>
      <c r="H5438" s="4" t="s">
        <v>17420</v>
      </c>
      <c r="I5438" s="4" t="s">
        <v>17281</v>
      </c>
      <c r="J5438" s="4" t="s">
        <v>17421</v>
      </c>
      <c r="K5438" s="4" t="s">
        <v>17422</v>
      </c>
      <c r="L5438" s="5">
        <v>34200</v>
      </c>
    </row>
    <row r="5439" spans="1:12" x14ac:dyDescent="0.25">
      <c r="A5439" s="3" t="s">
        <v>16971</v>
      </c>
      <c r="B5439" s="4" t="s">
        <v>17211</v>
      </c>
      <c r="C5439" s="4" t="s">
        <v>14</v>
      </c>
      <c r="D5439" s="4" t="s">
        <v>15</v>
      </c>
      <c r="E5439" s="5" t="str">
        <f>"9120315"</f>
        <v>9120315</v>
      </c>
      <c r="F5439" s="3" t="s">
        <v>17423</v>
      </c>
      <c r="G5439" s="5">
        <v>2221031359</v>
      </c>
      <c r="H5439" s="4" t="s">
        <v>17424</v>
      </c>
      <c r="I5439" s="4" t="s">
        <v>17224</v>
      </c>
      <c r="J5439" s="4" t="s">
        <v>17425</v>
      </c>
      <c r="K5439" s="4" t="s">
        <v>17426</v>
      </c>
      <c r="L5439" s="5">
        <v>34100</v>
      </c>
    </row>
    <row r="5440" spans="1:12" x14ac:dyDescent="0.25">
      <c r="A5440" s="3" t="s">
        <v>16971</v>
      </c>
      <c r="B5440" s="4" t="s">
        <v>17211</v>
      </c>
      <c r="C5440" s="4" t="s">
        <v>14</v>
      </c>
      <c r="D5440" s="4" t="s">
        <v>15</v>
      </c>
      <c r="E5440" s="5" t="str">
        <f>"9120210"</f>
        <v>9120210</v>
      </c>
      <c r="F5440" s="3" t="s">
        <v>17427</v>
      </c>
      <c r="G5440" s="5">
        <v>2221092244</v>
      </c>
      <c r="H5440" s="4" t="s">
        <v>17428</v>
      </c>
      <c r="I5440" s="4" t="s">
        <v>17224</v>
      </c>
      <c r="J5440" s="4" t="s">
        <v>17240</v>
      </c>
      <c r="K5440" s="4" t="s">
        <v>17429</v>
      </c>
      <c r="L5440" s="5">
        <v>34100</v>
      </c>
    </row>
    <row r="5441" spans="1:12" x14ac:dyDescent="0.25">
      <c r="A5441" s="3" t="s">
        <v>16971</v>
      </c>
      <c r="B5441" s="4" t="s">
        <v>17211</v>
      </c>
      <c r="C5441" s="4" t="s">
        <v>25</v>
      </c>
      <c r="D5441" s="4" t="s">
        <v>26</v>
      </c>
      <c r="E5441" s="5" t="str">
        <f>"9120436"</f>
        <v>9120436</v>
      </c>
      <c r="F5441" s="3" t="s">
        <v>17430</v>
      </c>
      <c r="G5441" s="5">
        <v>2221041991</v>
      </c>
      <c r="H5441" s="4" t="s">
        <v>17431</v>
      </c>
      <c r="I5441" s="4" t="s">
        <v>17224</v>
      </c>
      <c r="J5441" s="4" t="s">
        <v>17339</v>
      </c>
      <c r="K5441" s="4" t="s">
        <v>17432</v>
      </c>
      <c r="L5441" s="5">
        <v>34100</v>
      </c>
    </row>
    <row r="5442" spans="1:12" x14ac:dyDescent="0.25">
      <c r="A5442" s="3" t="s">
        <v>16971</v>
      </c>
      <c r="B5442" s="4" t="s">
        <v>17211</v>
      </c>
      <c r="C5442" s="4" t="s">
        <v>25</v>
      </c>
      <c r="D5442" s="4" t="s">
        <v>26</v>
      </c>
      <c r="E5442" s="5" t="str">
        <f>"9120437"</f>
        <v>9120437</v>
      </c>
      <c r="F5442" s="3" t="s">
        <v>17433</v>
      </c>
      <c r="G5442" s="5">
        <v>2221085688</v>
      </c>
      <c r="H5442" s="4" t="s">
        <v>17434</v>
      </c>
      <c r="I5442" s="4" t="s">
        <v>17224</v>
      </c>
      <c r="J5442" s="4" t="s">
        <v>17339</v>
      </c>
      <c r="K5442" s="4" t="s">
        <v>17435</v>
      </c>
      <c r="L5442" s="5">
        <v>34100</v>
      </c>
    </row>
    <row r="5443" spans="1:12" x14ac:dyDescent="0.25">
      <c r="A5443" s="3" t="s">
        <v>16971</v>
      </c>
      <c r="B5443" s="4" t="s">
        <v>17211</v>
      </c>
      <c r="C5443" s="4" t="s">
        <v>25</v>
      </c>
      <c r="D5443" s="4" t="s">
        <v>26</v>
      </c>
      <c r="E5443" s="5" t="str">
        <f>"9120451"</f>
        <v>9120451</v>
      </c>
      <c r="F5443" s="3" t="s">
        <v>17436</v>
      </c>
      <c r="G5443" s="5">
        <v>2221085685</v>
      </c>
      <c r="H5443" s="4" t="s">
        <v>17437</v>
      </c>
      <c r="I5443" s="4" t="s">
        <v>17224</v>
      </c>
      <c r="J5443" s="4" t="s">
        <v>17339</v>
      </c>
      <c r="K5443" s="4" t="s">
        <v>17438</v>
      </c>
      <c r="L5443" s="5">
        <v>34100</v>
      </c>
    </row>
    <row r="5444" spans="1:12" x14ac:dyDescent="0.25">
      <c r="A5444" s="3" t="s">
        <v>16971</v>
      </c>
      <c r="B5444" s="4" t="s">
        <v>17211</v>
      </c>
      <c r="C5444" s="4" t="s">
        <v>25</v>
      </c>
      <c r="D5444" s="4" t="s">
        <v>26</v>
      </c>
      <c r="E5444" s="5" t="str">
        <f>"9120414"</f>
        <v>9120414</v>
      </c>
      <c r="F5444" s="3" t="s">
        <v>17439</v>
      </c>
      <c r="G5444" s="5">
        <v>2229037735</v>
      </c>
      <c r="H5444" s="4" t="s">
        <v>17440</v>
      </c>
      <c r="I5444" s="4" t="s">
        <v>17214</v>
      </c>
      <c r="J5444" s="4" t="s">
        <v>17354</v>
      </c>
      <c r="K5444" s="4" t="s">
        <v>17441</v>
      </c>
      <c r="L5444" s="5">
        <v>34006</v>
      </c>
    </row>
    <row r="5445" spans="1:12" x14ac:dyDescent="0.25">
      <c r="A5445" s="3" t="s">
        <v>16971</v>
      </c>
      <c r="B5445" s="4" t="s">
        <v>17211</v>
      </c>
      <c r="C5445" s="4" t="s">
        <v>25</v>
      </c>
      <c r="D5445" s="4" t="s">
        <v>26</v>
      </c>
      <c r="E5445" s="5" t="str">
        <f>"9120325"</f>
        <v>9120325</v>
      </c>
      <c r="F5445" s="3" t="s">
        <v>17442</v>
      </c>
      <c r="G5445" s="5">
        <v>2221054144</v>
      </c>
      <c r="H5445" s="4" t="s">
        <v>17443</v>
      </c>
      <c r="I5445" s="4" t="s">
        <v>17224</v>
      </c>
      <c r="J5445" s="4" t="s">
        <v>17444</v>
      </c>
      <c r="K5445" s="4" t="s">
        <v>17263</v>
      </c>
      <c r="L5445" s="5">
        <v>34100</v>
      </c>
    </row>
    <row r="5446" spans="1:12" x14ac:dyDescent="0.25">
      <c r="A5446" s="3" t="s">
        <v>16971</v>
      </c>
      <c r="B5446" s="4" t="s">
        <v>17211</v>
      </c>
      <c r="C5446" s="4" t="s">
        <v>25</v>
      </c>
      <c r="D5446" s="4" t="s">
        <v>26</v>
      </c>
      <c r="E5446" s="5" t="str">
        <f>"9120243"</f>
        <v>9120243</v>
      </c>
      <c r="F5446" s="3" t="s">
        <v>17445</v>
      </c>
      <c r="G5446" s="5">
        <v>2221052875</v>
      </c>
      <c r="H5446" s="4" t="s">
        <v>17446</v>
      </c>
      <c r="I5446" s="4" t="s">
        <v>17224</v>
      </c>
      <c r="J5446" s="4" t="s">
        <v>17447</v>
      </c>
      <c r="K5446" s="4" t="s">
        <v>17448</v>
      </c>
      <c r="L5446" s="5">
        <v>34002</v>
      </c>
    </row>
    <row r="5447" spans="1:12" x14ac:dyDescent="0.25">
      <c r="A5447" s="3" t="s">
        <v>16971</v>
      </c>
      <c r="B5447" s="4" t="s">
        <v>17211</v>
      </c>
      <c r="C5447" s="4" t="s">
        <v>25</v>
      </c>
      <c r="D5447" s="4" t="s">
        <v>26</v>
      </c>
      <c r="E5447" s="5" t="str">
        <f>"9120381"</f>
        <v>9120381</v>
      </c>
      <c r="F5447" s="3" t="s">
        <v>17449</v>
      </c>
      <c r="G5447" s="5">
        <v>2221053303</v>
      </c>
      <c r="H5447" s="4" t="s">
        <v>17450</v>
      </c>
      <c r="I5447" s="4" t="s">
        <v>17224</v>
      </c>
      <c r="J5447" s="4" t="s">
        <v>17447</v>
      </c>
      <c r="K5447" s="4" t="s">
        <v>17451</v>
      </c>
      <c r="L5447" s="5">
        <v>34002</v>
      </c>
    </row>
    <row r="5448" spans="1:12" x14ac:dyDescent="0.25">
      <c r="A5448" s="3" t="s">
        <v>16971</v>
      </c>
      <c r="B5448" s="4" t="s">
        <v>17211</v>
      </c>
      <c r="C5448" s="4" t="s">
        <v>25</v>
      </c>
      <c r="D5448" s="4" t="s">
        <v>26</v>
      </c>
      <c r="E5448" s="5" t="str">
        <f>"9120312"</f>
        <v>9120312</v>
      </c>
      <c r="F5448" s="3" t="s">
        <v>17452</v>
      </c>
      <c r="G5448" s="5">
        <v>2221098756</v>
      </c>
      <c r="H5448" s="4" t="s">
        <v>17453</v>
      </c>
      <c r="I5448" s="4" t="s">
        <v>17224</v>
      </c>
      <c r="J5448" s="4" t="s">
        <v>17236</v>
      </c>
      <c r="K5448" s="4" t="s">
        <v>17454</v>
      </c>
      <c r="L5448" s="5">
        <v>34100</v>
      </c>
    </row>
    <row r="5449" spans="1:12" x14ac:dyDescent="0.25">
      <c r="A5449" s="3" t="s">
        <v>16971</v>
      </c>
      <c r="B5449" s="4" t="s">
        <v>17211</v>
      </c>
      <c r="C5449" s="4" t="s">
        <v>14</v>
      </c>
      <c r="D5449" s="4" t="s">
        <v>15</v>
      </c>
      <c r="E5449" s="5" t="str">
        <f>"9120013"</f>
        <v>9120013</v>
      </c>
      <c r="F5449" s="3" t="s">
        <v>17455</v>
      </c>
      <c r="G5449" s="5">
        <v>2226022446</v>
      </c>
      <c r="H5449" s="4" t="s">
        <v>17456</v>
      </c>
      <c r="I5449" s="4" t="s">
        <v>17281</v>
      </c>
      <c r="J5449" s="4" t="s">
        <v>17457</v>
      </c>
      <c r="K5449" s="4" t="s">
        <v>17458</v>
      </c>
      <c r="L5449" s="5">
        <v>34300</v>
      </c>
    </row>
    <row r="5450" spans="1:12" x14ac:dyDescent="0.25">
      <c r="A5450" s="3" t="s">
        <v>16971</v>
      </c>
      <c r="B5450" s="4" t="s">
        <v>17211</v>
      </c>
      <c r="C5450" s="4" t="s">
        <v>25</v>
      </c>
      <c r="D5450" s="4" t="s">
        <v>26</v>
      </c>
      <c r="E5450" s="5" t="str">
        <f>"9120268"</f>
        <v>9120268</v>
      </c>
      <c r="F5450" s="3" t="s">
        <v>17459</v>
      </c>
      <c r="G5450" s="5">
        <v>2221040497</v>
      </c>
      <c r="H5450" s="4" t="s">
        <v>17460</v>
      </c>
      <c r="I5450" s="4" t="s">
        <v>17224</v>
      </c>
      <c r="J5450" s="4" t="s">
        <v>17461</v>
      </c>
      <c r="K5450" s="4" t="s">
        <v>17462</v>
      </c>
      <c r="L5450" s="5">
        <v>34600</v>
      </c>
    </row>
    <row r="5451" spans="1:12" x14ac:dyDescent="0.25">
      <c r="A5451" s="3" t="s">
        <v>16971</v>
      </c>
      <c r="B5451" s="4" t="s">
        <v>17211</v>
      </c>
      <c r="C5451" s="4" t="s">
        <v>25</v>
      </c>
      <c r="D5451" s="4" t="s">
        <v>26</v>
      </c>
      <c r="E5451" s="5" t="str">
        <f>"9120298"</f>
        <v>9120298</v>
      </c>
      <c r="F5451" s="3" t="s">
        <v>17463</v>
      </c>
      <c r="G5451" s="5">
        <v>2221076616</v>
      </c>
      <c r="H5451" s="4" t="s">
        <v>17464</v>
      </c>
      <c r="I5451" s="4" t="s">
        <v>17224</v>
      </c>
      <c r="J5451" s="4" t="s">
        <v>17339</v>
      </c>
      <c r="K5451" s="4" t="s">
        <v>17465</v>
      </c>
      <c r="L5451" s="5">
        <v>34132</v>
      </c>
    </row>
    <row r="5452" spans="1:12" ht="30" x14ac:dyDescent="0.25">
      <c r="A5452" s="3" t="s">
        <v>16971</v>
      </c>
      <c r="B5452" s="4" t="s">
        <v>17211</v>
      </c>
      <c r="C5452" s="4" t="s">
        <v>14</v>
      </c>
      <c r="D5452" s="4" t="s">
        <v>15</v>
      </c>
      <c r="E5452" s="5" t="str">
        <f>"9120221"</f>
        <v>9120221</v>
      </c>
      <c r="F5452" s="3" t="s">
        <v>17466</v>
      </c>
      <c r="G5452" s="5">
        <v>2221022943</v>
      </c>
      <c r="H5452" s="4" t="s">
        <v>17467</v>
      </c>
      <c r="I5452" s="4" t="s">
        <v>17224</v>
      </c>
      <c r="J5452" s="4" t="s">
        <v>17240</v>
      </c>
      <c r="K5452" s="4" t="s">
        <v>17468</v>
      </c>
      <c r="L5452" s="5">
        <v>34100</v>
      </c>
    </row>
    <row r="5453" spans="1:12" x14ac:dyDescent="0.25">
      <c r="A5453" s="3" t="s">
        <v>16971</v>
      </c>
      <c r="B5453" s="4" t="s">
        <v>17211</v>
      </c>
      <c r="C5453" s="4" t="s">
        <v>25</v>
      </c>
      <c r="D5453" s="4" t="s">
        <v>26</v>
      </c>
      <c r="E5453" s="5" t="str">
        <f>"9120299"</f>
        <v>9120299</v>
      </c>
      <c r="F5453" s="3" t="s">
        <v>17469</v>
      </c>
      <c r="G5453" s="5">
        <v>2221087070</v>
      </c>
      <c r="H5453" s="4" t="s">
        <v>17470</v>
      </c>
      <c r="I5453" s="4" t="s">
        <v>17224</v>
      </c>
      <c r="J5453" s="4" t="s">
        <v>17339</v>
      </c>
      <c r="K5453" s="4" t="s">
        <v>17471</v>
      </c>
      <c r="L5453" s="5">
        <v>34100</v>
      </c>
    </row>
    <row r="5454" spans="1:12" x14ac:dyDescent="0.25">
      <c r="A5454" s="3" t="s">
        <v>16971</v>
      </c>
      <c r="B5454" s="4" t="s">
        <v>17211</v>
      </c>
      <c r="C5454" s="4" t="s">
        <v>25</v>
      </c>
      <c r="D5454" s="4" t="s">
        <v>26</v>
      </c>
      <c r="E5454" s="5" t="str">
        <f>"9120340"</f>
        <v>9120340</v>
      </c>
      <c r="F5454" s="3" t="s">
        <v>17472</v>
      </c>
      <c r="G5454" s="5">
        <v>2221350618</v>
      </c>
      <c r="H5454" s="4" t="s">
        <v>17473</v>
      </c>
      <c r="I5454" s="4" t="s">
        <v>17224</v>
      </c>
      <c r="J5454" s="4" t="s">
        <v>17240</v>
      </c>
      <c r="K5454" s="4" t="s">
        <v>17474</v>
      </c>
      <c r="L5454" s="5">
        <v>34100</v>
      </c>
    </row>
    <row r="5455" spans="1:12" x14ac:dyDescent="0.25">
      <c r="A5455" s="3" t="s">
        <v>16971</v>
      </c>
      <c r="B5455" s="4" t="s">
        <v>17211</v>
      </c>
      <c r="C5455" s="4" t="s">
        <v>25</v>
      </c>
      <c r="D5455" s="4" t="s">
        <v>26</v>
      </c>
      <c r="E5455" s="5" t="str">
        <f>"9120329"</f>
        <v>9120329</v>
      </c>
      <c r="F5455" s="3" t="s">
        <v>17475</v>
      </c>
      <c r="G5455" s="5">
        <v>2221084154</v>
      </c>
      <c r="H5455" s="4" t="s">
        <v>17476</v>
      </c>
      <c r="I5455" s="4" t="s">
        <v>17224</v>
      </c>
      <c r="J5455" s="4" t="s">
        <v>17339</v>
      </c>
      <c r="K5455" s="4" t="s">
        <v>17477</v>
      </c>
      <c r="L5455" s="5">
        <v>34100</v>
      </c>
    </row>
    <row r="5456" spans="1:12" x14ac:dyDescent="0.25">
      <c r="A5456" s="3" t="s">
        <v>16971</v>
      </c>
      <c r="B5456" s="4" t="s">
        <v>17211</v>
      </c>
      <c r="C5456" s="4" t="s">
        <v>25</v>
      </c>
      <c r="D5456" s="4" t="s">
        <v>26</v>
      </c>
      <c r="E5456" s="5" t="str">
        <f>"9120398"</f>
        <v>9120398</v>
      </c>
      <c r="F5456" s="3" t="s">
        <v>17478</v>
      </c>
      <c r="G5456" s="5">
        <v>2221090711</v>
      </c>
      <c r="H5456" s="4" t="s">
        <v>17479</v>
      </c>
      <c r="I5456" s="4" t="s">
        <v>17224</v>
      </c>
      <c r="J5456" s="4" t="s">
        <v>17339</v>
      </c>
      <c r="K5456" s="4" t="s">
        <v>17480</v>
      </c>
      <c r="L5456" s="5">
        <v>34100</v>
      </c>
    </row>
    <row r="5457" spans="1:12" x14ac:dyDescent="0.25">
      <c r="A5457" s="3" t="s">
        <v>16971</v>
      </c>
      <c r="B5457" s="4" t="s">
        <v>17211</v>
      </c>
      <c r="C5457" s="4" t="s">
        <v>25</v>
      </c>
      <c r="D5457" s="4" t="s">
        <v>26</v>
      </c>
      <c r="E5457" s="5" t="str">
        <f>"9120397"</f>
        <v>9120397</v>
      </c>
      <c r="F5457" s="3" t="s">
        <v>17481</v>
      </c>
      <c r="G5457" s="5">
        <v>2228023487</v>
      </c>
      <c r="H5457" s="4" t="s">
        <v>17482</v>
      </c>
      <c r="I5457" s="4" t="s">
        <v>17219</v>
      </c>
      <c r="J5457" s="4" t="s">
        <v>17220</v>
      </c>
      <c r="K5457" s="4" t="s">
        <v>17483</v>
      </c>
      <c r="L5457" s="5">
        <v>34400</v>
      </c>
    </row>
    <row r="5458" spans="1:12" x14ac:dyDescent="0.25">
      <c r="A5458" s="3" t="s">
        <v>16971</v>
      </c>
      <c r="B5458" s="4" t="s">
        <v>17211</v>
      </c>
      <c r="C5458" s="4" t="s">
        <v>14</v>
      </c>
      <c r="D5458" s="4" t="s">
        <v>15</v>
      </c>
      <c r="E5458" s="5" t="str">
        <f>"9120449"</f>
        <v>9120449</v>
      </c>
      <c r="F5458" s="3" t="s">
        <v>17484</v>
      </c>
      <c r="G5458" s="5">
        <v>2224022320</v>
      </c>
      <c r="H5458" s="4" t="s">
        <v>17485</v>
      </c>
      <c r="I5458" s="4" t="s">
        <v>17343</v>
      </c>
      <c r="J5458" s="4" t="s">
        <v>17486</v>
      </c>
      <c r="K5458" s="4" t="s">
        <v>17487</v>
      </c>
      <c r="L5458" s="5">
        <v>34001</v>
      </c>
    </row>
    <row r="5459" spans="1:12" x14ac:dyDescent="0.25">
      <c r="A5459" s="3" t="s">
        <v>16971</v>
      </c>
      <c r="B5459" s="4" t="s">
        <v>17211</v>
      </c>
      <c r="C5459" s="4" t="s">
        <v>14</v>
      </c>
      <c r="D5459" s="4" t="s">
        <v>15</v>
      </c>
      <c r="E5459" s="5" t="str">
        <f>"9120004"</f>
        <v>9120004</v>
      </c>
      <c r="F5459" s="3" t="s">
        <v>17488</v>
      </c>
      <c r="G5459" s="5">
        <v>2226052472</v>
      </c>
      <c r="H5459" s="4" t="s">
        <v>17489</v>
      </c>
      <c r="I5459" s="4" t="s">
        <v>17281</v>
      </c>
      <c r="J5459" s="4" t="s">
        <v>17282</v>
      </c>
      <c r="K5459" s="4" t="s">
        <v>17282</v>
      </c>
      <c r="L5459" s="5">
        <v>34200</v>
      </c>
    </row>
    <row r="5460" spans="1:12" x14ac:dyDescent="0.25">
      <c r="A5460" s="3" t="s">
        <v>16971</v>
      </c>
      <c r="B5460" s="4" t="s">
        <v>17211</v>
      </c>
      <c r="C5460" s="4" t="s">
        <v>14</v>
      </c>
      <c r="D5460" s="4" t="s">
        <v>15</v>
      </c>
      <c r="E5460" s="5" t="str">
        <f>"9120085"</f>
        <v>9120085</v>
      </c>
      <c r="F5460" s="3" t="s">
        <v>17490</v>
      </c>
      <c r="G5460" s="5">
        <v>2224350209</v>
      </c>
      <c r="H5460" s="4" t="s">
        <v>17491</v>
      </c>
      <c r="I5460" s="4" t="s">
        <v>17343</v>
      </c>
      <c r="J5460" s="4" t="s">
        <v>17486</v>
      </c>
      <c r="K5460" s="4" t="s">
        <v>17492</v>
      </c>
      <c r="L5460" s="5">
        <v>34001</v>
      </c>
    </row>
    <row r="5461" spans="1:12" x14ac:dyDescent="0.25">
      <c r="A5461" s="3" t="s">
        <v>16971</v>
      </c>
      <c r="B5461" s="4" t="s">
        <v>17211</v>
      </c>
      <c r="C5461" s="4" t="s">
        <v>14</v>
      </c>
      <c r="D5461" s="4" t="s">
        <v>15</v>
      </c>
      <c r="E5461" s="5" t="str">
        <f>"9120235"</f>
        <v>9120235</v>
      </c>
      <c r="F5461" s="3" t="s">
        <v>17493</v>
      </c>
      <c r="G5461" s="5">
        <v>2228022793</v>
      </c>
      <c r="H5461" s="4" t="s">
        <v>17494</v>
      </c>
      <c r="I5461" s="4" t="s">
        <v>17219</v>
      </c>
      <c r="J5461" s="4" t="s">
        <v>17298</v>
      </c>
      <c r="K5461" s="4" t="s">
        <v>17495</v>
      </c>
      <c r="L5461" s="5">
        <v>34400</v>
      </c>
    </row>
    <row r="5462" spans="1:12" x14ac:dyDescent="0.25">
      <c r="A5462" s="3" t="s">
        <v>16971</v>
      </c>
      <c r="B5462" s="4" t="s">
        <v>17211</v>
      </c>
      <c r="C5462" s="4" t="s">
        <v>25</v>
      </c>
      <c r="D5462" s="4" t="s">
        <v>26</v>
      </c>
      <c r="E5462" s="5" t="str">
        <f>"9120363"</f>
        <v>9120363</v>
      </c>
      <c r="F5462" s="3" t="s">
        <v>17496</v>
      </c>
      <c r="G5462" s="5">
        <v>2224023112</v>
      </c>
      <c r="H5462" s="4" t="s">
        <v>17497</v>
      </c>
      <c r="I5462" s="4" t="s">
        <v>17343</v>
      </c>
      <c r="J5462" s="4" t="s">
        <v>17343</v>
      </c>
      <c r="K5462" s="4" t="s">
        <v>17498</v>
      </c>
      <c r="L5462" s="5">
        <v>34001</v>
      </c>
    </row>
    <row r="5463" spans="1:12" x14ac:dyDescent="0.25">
      <c r="A5463" s="3" t="s">
        <v>16971</v>
      </c>
      <c r="B5463" s="4" t="s">
        <v>17211</v>
      </c>
      <c r="C5463" s="4" t="s">
        <v>25</v>
      </c>
      <c r="D5463" s="4" t="s">
        <v>26</v>
      </c>
      <c r="E5463" s="5" t="str">
        <f>"9120303"</f>
        <v>9120303</v>
      </c>
      <c r="F5463" s="3" t="s">
        <v>17499</v>
      </c>
      <c r="G5463" s="5">
        <v>2224022166</v>
      </c>
      <c r="H5463" s="4" t="s">
        <v>17500</v>
      </c>
      <c r="I5463" s="4" t="s">
        <v>17343</v>
      </c>
      <c r="J5463" s="4" t="s">
        <v>17486</v>
      </c>
      <c r="K5463" s="4" t="s">
        <v>17501</v>
      </c>
      <c r="L5463" s="5">
        <v>34001</v>
      </c>
    </row>
    <row r="5464" spans="1:12" x14ac:dyDescent="0.25">
      <c r="A5464" s="3" t="s">
        <v>16971</v>
      </c>
      <c r="B5464" s="4" t="s">
        <v>17211</v>
      </c>
      <c r="C5464" s="4" t="s">
        <v>14</v>
      </c>
      <c r="D5464" s="4" t="s">
        <v>15</v>
      </c>
      <c r="E5464" s="5" t="str">
        <f>"9120216"</f>
        <v>9120216</v>
      </c>
      <c r="F5464" s="3" t="s">
        <v>17502</v>
      </c>
      <c r="G5464" s="5">
        <v>2221083896</v>
      </c>
      <c r="H5464" s="4" t="s">
        <v>17503</v>
      </c>
      <c r="I5464" s="4" t="s">
        <v>17224</v>
      </c>
      <c r="J5464" s="4" t="s">
        <v>17240</v>
      </c>
      <c r="K5464" s="4" t="s">
        <v>17504</v>
      </c>
      <c r="L5464" s="5">
        <v>34132</v>
      </c>
    </row>
    <row r="5465" spans="1:12" x14ac:dyDescent="0.25">
      <c r="A5465" s="3" t="s">
        <v>16971</v>
      </c>
      <c r="B5465" s="4" t="s">
        <v>17211</v>
      </c>
      <c r="C5465" s="4" t="s">
        <v>14</v>
      </c>
      <c r="D5465" s="4" t="s">
        <v>15</v>
      </c>
      <c r="E5465" s="5" t="str">
        <f>"9120265"</f>
        <v>9120265</v>
      </c>
      <c r="F5465" s="3" t="s">
        <v>17505</v>
      </c>
      <c r="G5465" s="5">
        <v>2221042301</v>
      </c>
      <c r="H5465" s="4" t="s">
        <v>17506</v>
      </c>
      <c r="I5465" s="4" t="s">
        <v>17224</v>
      </c>
      <c r="J5465" s="4" t="s">
        <v>17507</v>
      </c>
      <c r="K5465" s="4" t="s">
        <v>17508</v>
      </c>
      <c r="L5465" s="5">
        <v>34600</v>
      </c>
    </row>
    <row r="5466" spans="1:12" x14ac:dyDescent="0.25">
      <c r="A5466" s="3" t="s">
        <v>16971</v>
      </c>
      <c r="B5466" s="4" t="s">
        <v>17211</v>
      </c>
      <c r="C5466" s="4" t="s">
        <v>14</v>
      </c>
      <c r="D5466" s="4" t="s">
        <v>15</v>
      </c>
      <c r="E5466" s="5" t="str">
        <f>"9120266"</f>
        <v>9120266</v>
      </c>
      <c r="F5466" s="3" t="s">
        <v>17509</v>
      </c>
      <c r="G5466" s="5">
        <v>2221042382</v>
      </c>
      <c r="H5466" s="4" t="s">
        <v>17510</v>
      </c>
      <c r="I5466" s="4" t="s">
        <v>17224</v>
      </c>
      <c r="J5466" s="4" t="s">
        <v>17311</v>
      </c>
      <c r="K5466" s="4" t="s">
        <v>17511</v>
      </c>
      <c r="L5466" s="5">
        <v>34600</v>
      </c>
    </row>
    <row r="5467" spans="1:12" x14ac:dyDescent="0.25">
      <c r="A5467" s="3" t="s">
        <v>16971</v>
      </c>
      <c r="B5467" s="4" t="s">
        <v>17211</v>
      </c>
      <c r="C5467" s="4" t="s">
        <v>14</v>
      </c>
      <c r="D5467" s="4" t="s">
        <v>15</v>
      </c>
      <c r="E5467" s="5" t="str">
        <f>"9120211"</f>
        <v>9120211</v>
      </c>
      <c r="F5467" s="3" t="s">
        <v>17512</v>
      </c>
      <c r="G5467" s="5">
        <v>2221043581</v>
      </c>
      <c r="H5467" s="4" t="s">
        <v>17513</v>
      </c>
      <c r="I5467" s="4" t="s">
        <v>17224</v>
      </c>
      <c r="J5467" s="4" t="s">
        <v>17240</v>
      </c>
      <c r="K5467" s="4" t="s">
        <v>17514</v>
      </c>
      <c r="L5467" s="5">
        <v>34100</v>
      </c>
    </row>
    <row r="5468" spans="1:12" x14ac:dyDescent="0.25">
      <c r="A5468" s="3" t="s">
        <v>16971</v>
      </c>
      <c r="B5468" s="4" t="s">
        <v>17211</v>
      </c>
      <c r="C5468" s="4" t="s">
        <v>14</v>
      </c>
      <c r="D5468" s="4" t="s">
        <v>15</v>
      </c>
      <c r="E5468" s="5" t="str">
        <f>"9120463"</f>
        <v>9120463</v>
      </c>
      <c r="F5468" s="3" t="s">
        <v>17515</v>
      </c>
      <c r="G5468" s="5">
        <v>2229350224</v>
      </c>
      <c r="H5468" s="4" t="s">
        <v>17516</v>
      </c>
      <c r="I5468" s="4" t="s">
        <v>17214</v>
      </c>
      <c r="J5468" s="4" t="s">
        <v>17215</v>
      </c>
      <c r="K5468" s="4" t="s">
        <v>17517</v>
      </c>
      <c r="L5468" s="5">
        <v>34008</v>
      </c>
    </row>
    <row r="5469" spans="1:12" x14ac:dyDescent="0.25">
      <c r="A5469" s="3" t="s">
        <v>16971</v>
      </c>
      <c r="B5469" s="4" t="s">
        <v>17211</v>
      </c>
      <c r="C5469" s="4" t="s">
        <v>25</v>
      </c>
      <c r="D5469" s="4" t="s">
        <v>26</v>
      </c>
      <c r="E5469" s="5" t="str">
        <f>"9120012"</f>
        <v>9120012</v>
      </c>
      <c r="F5469" s="3" t="s">
        <v>17518</v>
      </c>
      <c r="G5469" s="5">
        <v>2226022642</v>
      </c>
      <c r="H5469" s="4" t="s">
        <v>17519</v>
      </c>
      <c r="I5469" s="4" t="s">
        <v>17281</v>
      </c>
      <c r="J5469" s="4" t="s">
        <v>17520</v>
      </c>
      <c r="K5469" s="4" t="s">
        <v>17521</v>
      </c>
      <c r="L5469" s="5">
        <v>34300</v>
      </c>
    </row>
    <row r="5470" spans="1:12" x14ac:dyDescent="0.25">
      <c r="A5470" s="3" t="s">
        <v>16971</v>
      </c>
      <c r="B5470" s="4" t="s">
        <v>17211</v>
      </c>
      <c r="C5470" s="4" t="s">
        <v>14</v>
      </c>
      <c r="D5470" s="4" t="s">
        <v>15</v>
      </c>
      <c r="E5470" s="5" t="str">
        <f>"9120426"</f>
        <v>9120426</v>
      </c>
      <c r="F5470" s="3" t="s">
        <v>17522</v>
      </c>
      <c r="G5470" s="5">
        <v>2221043240</v>
      </c>
      <c r="H5470" s="4" t="s">
        <v>17523</v>
      </c>
      <c r="I5470" s="4" t="s">
        <v>17224</v>
      </c>
      <c r="J5470" s="4" t="s">
        <v>17240</v>
      </c>
      <c r="K5470" s="4" t="s">
        <v>17524</v>
      </c>
      <c r="L5470" s="5">
        <v>34100</v>
      </c>
    </row>
    <row r="5471" spans="1:12" x14ac:dyDescent="0.25">
      <c r="A5471" s="3" t="s">
        <v>16971</v>
      </c>
      <c r="B5471" s="4" t="s">
        <v>17211</v>
      </c>
      <c r="C5471" s="4" t="s">
        <v>14</v>
      </c>
      <c r="D5471" s="4" t="s">
        <v>15</v>
      </c>
      <c r="E5471" s="5" t="str">
        <f>"9120142"</f>
        <v>9120142</v>
      </c>
      <c r="F5471" s="3" t="s">
        <v>17525</v>
      </c>
      <c r="G5471" s="5">
        <v>2223022713</v>
      </c>
      <c r="H5471" s="4" t="s">
        <v>17526</v>
      </c>
      <c r="I5471" s="4" t="s">
        <v>17527</v>
      </c>
      <c r="J5471" s="4" t="s">
        <v>17528</v>
      </c>
      <c r="K5471" s="4" t="s">
        <v>17529</v>
      </c>
      <c r="L5471" s="5">
        <v>34500</v>
      </c>
    </row>
    <row r="5472" spans="1:12" x14ac:dyDescent="0.25">
      <c r="A5472" s="3" t="s">
        <v>16971</v>
      </c>
      <c r="B5472" s="4" t="s">
        <v>17211</v>
      </c>
      <c r="C5472" s="4" t="s">
        <v>14</v>
      </c>
      <c r="D5472" s="4" t="s">
        <v>15</v>
      </c>
      <c r="E5472" s="5" t="str">
        <f>"9120231"</f>
        <v>9120231</v>
      </c>
      <c r="F5472" s="3" t="s">
        <v>17530</v>
      </c>
      <c r="G5472" s="5">
        <v>2221023290</v>
      </c>
      <c r="H5472" s="4" t="s">
        <v>17531</v>
      </c>
      <c r="I5472" s="4" t="s">
        <v>17224</v>
      </c>
      <c r="J5472" s="4" t="s">
        <v>17240</v>
      </c>
      <c r="K5472" s="4" t="s">
        <v>17532</v>
      </c>
      <c r="L5472" s="5">
        <v>34100</v>
      </c>
    </row>
    <row r="5473" spans="1:12" x14ac:dyDescent="0.25">
      <c r="A5473" s="3" t="s">
        <v>16971</v>
      </c>
      <c r="B5473" s="4" t="s">
        <v>17211</v>
      </c>
      <c r="C5473" s="4" t="s">
        <v>14</v>
      </c>
      <c r="D5473" s="4" t="s">
        <v>15</v>
      </c>
      <c r="E5473" s="5" t="str">
        <f>"9120407"</f>
        <v>9120407</v>
      </c>
      <c r="F5473" s="3" t="s">
        <v>17533</v>
      </c>
      <c r="G5473" s="5">
        <v>2221037796</v>
      </c>
      <c r="H5473" s="4" t="s">
        <v>17534</v>
      </c>
      <c r="I5473" s="4" t="s">
        <v>17224</v>
      </c>
      <c r="J5473" s="4" t="s">
        <v>17240</v>
      </c>
      <c r="K5473" s="4" t="s">
        <v>17535</v>
      </c>
      <c r="L5473" s="5">
        <v>34132</v>
      </c>
    </row>
    <row r="5474" spans="1:12" x14ac:dyDescent="0.25">
      <c r="A5474" s="3" t="s">
        <v>16971</v>
      </c>
      <c r="B5474" s="4" t="s">
        <v>17211</v>
      </c>
      <c r="C5474" s="4" t="s">
        <v>25</v>
      </c>
      <c r="D5474" s="4" t="s">
        <v>26</v>
      </c>
      <c r="E5474" s="5" t="str">
        <f>"9120084"</f>
        <v>9120084</v>
      </c>
      <c r="F5474" s="3" t="s">
        <v>17536</v>
      </c>
      <c r="G5474" s="5">
        <v>2224022498</v>
      </c>
      <c r="H5474" s="4" t="s">
        <v>17537</v>
      </c>
      <c r="I5474" s="4" t="s">
        <v>17343</v>
      </c>
      <c r="J5474" s="4" t="s">
        <v>17486</v>
      </c>
      <c r="K5474" s="4" t="s">
        <v>17538</v>
      </c>
      <c r="L5474" s="5">
        <v>34001</v>
      </c>
    </row>
    <row r="5475" spans="1:12" x14ac:dyDescent="0.25">
      <c r="A5475" s="3" t="s">
        <v>16971</v>
      </c>
      <c r="B5475" s="4" t="s">
        <v>17211</v>
      </c>
      <c r="C5475" s="4" t="s">
        <v>14</v>
      </c>
      <c r="D5475" s="4" t="s">
        <v>15</v>
      </c>
      <c r="E5475" s="5" t="str">
        <f>"9120203"</f>
        <v>9120203</v>
      </c>
      <c r="F5475" s="3" t="s">
        <v>17539</v>
      </c>
      <c r="G5475" s="5">
        <v>2229091241</v>
      </c>
      <c r="H5475" s="4" t="s">
        <v>17540</v>
      </c>
      <c r="I5475" s="4" t="s">
        <v>17214</v>
      </c>
      <c r="J5475" s="4" t="s">
        <v>17541</v>
      </c>
      <c r="K5475" s="4" t="s">
        <v>17541</v>
      </c>
      <c r="L5475" s="5">
        <v>34006</v>
      </c>
    </row>
    <row r="5476" spans="1:12" x14ac:dyDescent="0.25">
      <c r="A5476" s="3" t="s">
        <v>16971</v>
      </c>
      <c r="B5476" s="4" t="s">
        <v>17211</v>
      </c>
      <c r="C5476" s="4" t="s">
        <v>14</v>
      </c>
      <c r="D5476" s="4" t="s">
        <v>15</v>
      </c>
      <c r="E5476" s="5" t="str">
        <f>"9520742"</f>
        <v>9520742</v>
      </c>
      <c r="F5476" s="3" t="s">
        <v>17542</v>
      </c>
      <c r="G5476" s="5">
        <v>2227022430</v>
      </c>
      <c r="H5476" s="4" t="s">
        <v>17543</v>
      </c>
      <c r="I5476" s="4" t="s">
        <v>17267</v>
      </c>
      <c r="J5476" s="4" t="s">
        <v>17544</v>
      </c>
      <c r="K5476" s="4" t="s">
        <v>17544</v>
      </c>
      <c r="L5476" s="5">
        <v>34004</v>
      </c>
    </row>
    <row r="5477" spans="1:12" x14ac:dyDescent="0.25">
      <c r="A5477" s="3" t="s">
        <v>16971</v>
      </c>
      <c r="B5477" s="4" t="s">
        <v>17211</v>
      </c>
      <c r="C5477" s="4" t="s">
        <v>25</v>
      </c>
      <c r="D5477" s="4" t="s">
        <v>26</v>
      </c>
      <c r="E5477" s="5" t="str">
        <f>"9120291"</f>
        <v>9120291</v>
      </c>
      <c r="F5477" s="3" t="s">
        <v>17545</v>
      </c>
      <c r="G5477" s="5">
        <v>2223022851</v>
      </c>
      <c r="H5477" s="4" t="s">
        <v>17546</v>
      </c>
      <c r="I5477" s="4" t="s">
        <v>17527</v>
      </c>
      <c r="J5477" s="4" t="s">
        <v>17547</v>
      </c>
      <c r="K5477" s="4" t="s">
        <v>17548</v>
      </c>
      <c r="L5477" s="5">
        <v>34500</v>
      </c>
    </row>
    <row r="5478" spans="1:12" x14ac:dyDescent="0.25">
      <c r="A5478" s="3" t="s">
        <v>16971</v>
      </c>
      <c r="B5478" s="4" t="s">
        <v>17211</v>
      </c>
      <c r="C5478" s="4" t="s">
        <v>25</v>
      </c>
      <c r="D5478" s="4" t="s">
        <v>26</v>
      </c>
      <c r="E5478" s="5" t="str">
        <f>"9120139"</f>
        <v>9120139</v>
      </c>
      <c r="F5478" s="3" t="s">
        <v>17549</v>
      </c>
      <c r="G5478" s="5">
        <v>2223022771</v>
      </c>
      <c r="H5478" s="4" t="s">
        <v>17550</v>
      </c>
      <c r="I5478" s="4" t="s">
        <v>17527</v>
      </c>
      <c r="J5478" s="4" t="s">
        <v>17547</v>
      </c>
      <c r="K5478" s="4" t="s">
        <v>17551</v>
      </c>
      <c r="L5478" s="5">
        <v>34500</v>
      </c>
    </row>
    <row r="5479" spans="1:12" x14ac:dyDescent="0.25">
      <c r="A5479" s="3" t="s">
        <v>16971</v>
      </c>
      <c r="B5479" s="4" t="s">
        <v>17211</v>
      </c>
      <c r="C5479" s="4" t="s">
        <v>14</v>
      </c>
      <c r="D5479" s="4" t="s">
        <v>15</v>
      </c>
      <c r="E5479" s="5" t="str">
        <f>"9120478"</f>
        <v>9120478</v>
      </c>
      <c r="F5479" s="3" t="s">
        <v>17552</v>
      </c>
      <c r="G5479" s="5">
        <v>2222024225</v>
      </c>
      <c r="H5479" s="4" t="s">
        <v>17553</v>
      </c>
      <c r="I5479" s="4" t="s">
        <v>17527</v>
      </c>
      <c r="J5479" s="4" t="s">
        <v>17554</v>
      </c>
      <c r="K5479" s="4" t="s">
        <v>17555</v>
      </c>
      <c r="L5479" s="5">
        <v>34003</v>
      </c>
    </row>
    <row r="5480" spans="1:12" x14ac:dyDescent="0.25">
      <c r="A5480" s="3" t="s">
        <v>16971</v>
      </c>
      <c r="B5480" s="4" t="s">
        <v>17211</v>
      </c>
      <c r="C5480" s="4" t="s">
        <v>14</v>
      </c>
      <c r="D5480" s="4" t="s">
        <v>15</v>
      </c>
      <c r="E5480" s="5" t="str">
        <f>"9120127"</f>
        <v>9120127</v>
      </c>
      <c r="F5480" s="3" t="s">
        <v>17556</v>
      </c>
      <c r="G5480" s="5">
        <v>2222022419</v>
      </c>
      <c r="H5480" s="4" t="s">
        <v>17557</v>
      </c>
      <c r="I5480" s="4" t="s">
        <v>17527</v>
      </c>
      <c r="J5480" s="4" t="s">
        <v>17555</v>
      </c>
      <c r="K5480" s="4" t="s">
        <v>17558</v>
      </c>
      <c r="L5480" s="5">
        <v>34003</v>
      </c>
    </row>
    <row r="5481" spans="1:12" x14ac:dyDescent="0.25">
      <c r="A5481" s="3" t="s">
        <v>16971</v>
      </c>
      <c r="B5481" s="4" t="s">
        <v>17211</v>
      </c>
      <c r="C5481" s="4" t="s">
        <v>25</v>
      </c>
      <c r="D5481" s="4" t="s">
        <v>26</v>
      </c>
      <c r="E5481" s="5" t="str">
        <f>"9120295"</f>
        <v>9120295</v>
      </c>
      <c r="F5481" s="3" t="s">
        <v>17559</v>
      </c>
      <c r="G5481" s="5">
        <v>2222022476</v>
      </c>
      <c r="H5481" s="4" t="s">
        <v>17560</v>
      </c>
      <c r="I5481" s="4" t="s">
        <v>17527</v>
      </c>
      <c r="J5481" s="4" t="s">
        <v>17554</v>
      </c>
      <c r="K5481" s="4" t="s">
        <v>17555</v>
      </c>
      <c r="L5481" s="5">
        <v>34003</v>
      </c>
    </row>
    <row r="5482" spans="1:12" x14ac:dyDescent="0.25">
      <c r="A5482" s="3" t="s">
        <v>16971</v>
      </c>
      <c r="B5482" s="4" t="s">
        <v>17211</v>
      </c>
      <c r="C5482" s="4" t="s">
        <v>25</v>
      </c>
      <c r="D5482" s="4" t="s">
        <v>26</v>
      </c>
      <c r="E5482" s="5" t="str">
        <f>"9120296"</f>
        <v>9120296</v>
      </c>
      <c r="F5482" s="3" t="s">
        <v>17561</v>
      </c>
      <c r="G5482" s="5">
        <v>2221027664</v>
      </c>
      <c r="H5482" s="4" t="s">
        <v>17562</v>
      </c>
      <c r="I5482" s="4" t="s">
        <v>17224</v>
      </c>
      <c r="J5482" s="4" t="s">
        <v>17339</v>
      </c>
      <c r="K5482" s="4" t="s">
        <v>17563</v>
      </c>
      <c r="L5482" s="5">
        <v>34100</v>
      </c>
    </row>
    <row r="5483" spans="1:12" x14ac:dyDescent="0.25">
      <c r="A5483" s="3" t="s">
        <v>16971</v>
      </c>
      <c r="B5483" s="4" t="s">
        <v>17211</v>
      </c>
      <c r="C5483" s="4" t="s">
        <v>14</v>
      </c>
      <c r="D5483" s="4" t="s">
        <v>15</v>
      </c>
      <c r="E5483" s="5" t="str">
        <f>"9120046"</f>
        <v>9120046</v>
      </c>
      <c r="F5483" s="3" t="s">
        <v>17564</v>
      </c>
      <c r="G5483" s="5">
        <v>2226071282</v>
      </c>
      <c r="H5483" s="4" t="s">
        <v>17565</v>
      </c>
      <c r="I5483" s="4" t="s">
        <v>17281</v>
      </c>
      <c r="J5483" s="4" t="s">
        <v>17566</v>
      </c>
      <c r="K5483" s="4" t="s">
        <v>17567</v>
      </c>
      <c r="L5483" s="5">
        <v>34012</v>
      </c>
    </row>
    <row r="5484" spans="1:12" x14ac:dyDescent="0.25">
      <c r="A5484" s="3" t="s">
        <v>16971</v>
      </c>
      <c r="B5484" s="4" t="s">
        <v>17211</v>
      </c>
      <c r="C5484" s="4" t="s">
        <v>14</v>
      </c>
      <c r="D5484" s="4" t="s">
        <v>15</v>
      </c>
      <c r="E5484" s="5" t="str">
        <f>"9120173"</f>
        <v>9120173</v>
      </c>
      <c r="F5484" s="3" t="s">
        <v>17568</v>
      </c>
      <c r="G5484" s="5">
        <v>2222350459</v>
      </c>
      <c r="H5484" s="4" t="s">
        <v>17569</v>
      </c>
      <c r="I5484" s="4" t="s">
        <v>17527</v>
      </c>
      <c r="J5484" s="4" t="s">
        <v>17570</v>
      </c>
      <c r="K5484" s="4" t="s">
        <v>17570</v>
      </c>
      <c r="L5484" s="5">
        <v>34016</v>
      </c>
    </row>
    <row r="5485" spans="1:12" x14ac:dyDescent="0.25">
      <c r="A5485" s="3" t="s">
        <v>16971</v>
      </c>
      <c r="B5485" s="4" t="s">
        <v>17211</v>
      </c>
      <c r="C5485" s="4" t="s">
        <v>14</v>
      </c>
      <c r="D5485" s="4" t="s">
        <v>15</v>
      </c>
      <c r="E5485" s="5" t="str">
        <f>"9120151"</f>
        <v>9120151</v>
      </c>
      <c r="F5485" s="3" t="s">
        <v>17571</v>
      </c>
      <c r="G5485" s="5">
        <v>2223031318</v>
      </c>
      <c r="H5485" s="4" t="s">
        <v>17572</v>
      </c>
      <c r="I5485" s="4" t="s">
        <v>17527</v>
      </c>
      <c r="J5485" s="4" t="s">
        <v>17573</v>
      </c>
      <c r="K5485" s="4" t="s">
        <v>17574</v>
      </c>
      <c r="L5485" s="5">
        <v>34009</v>
      </c>
    </row>
    <row r="5486" spans="1:12" x14ac:dyDescent="0.25">
      <c r="A5486" s="3" t="s">
        <v>16971</v>
      </c>
      <c r="B5486" s="4" t="s">
        <v>17211</v>
      </c>
      <c r="C5486" s="4" t="s">
        <v>14</v>
      </c>
      <c r="D5486" s="4" t="s">
        <v>15</v>
      </c>
      <c r="E5486" s="5" t="str">
        <f>"9120176"</f>
        <v>9120176</v>
      </c>
      <c r="F5486" s="3" t="s">
        <v>17575</v>
      </c>
      <c r="G5486" s="5">
        <v>2223051350</v>
      </c>
      <c r="H5486" s="4" t="s">
        <v>17576</v>
      </c>
      <c r="I5486" s="4" t="s">
        <v>17527</v>
      </c>
      <c r="J5486" s="4" t="s">
        <v>17577</v>
      </c>
      <c r="K5486" s="4" t="s">
        <v>17578</v>
      </c>
      <c r="L5486" s="5">
        <v>34017</v>
      </c>
    </row>
    <row r="5487" spans="1:12" x14ac:dyDescent="0.25">
      <c r="A5487" s="3" t="s">
        <v>16971</v>
      </c>
      <c r="B5487" s="4" t="s">
        <v>17211</v>
      </c>
      <c r="C5487" s="4" t="s">
        <v>14</v>
      </c>
      <c r="D5487" s="4" t="s">
        <v>15</v>
      </c>
      <c r="E5487" s="5" t="str">
        <f>"9120047"</f>
        <v>9120047</v>
      </c>
      <c r="F5487" s="3" t="s">
        <v>17579</v>
      </c>
      <c r="G5487" s="5">
        <v>2227031481</v>
      </c>
      <c r="H5487" s="4" t="s">
        <v>17580</v>
      </c>
      <c r="I5487" s="4" t="s">
        <v>17267</v>
      </c>
      <c r="J5487" s="4" t="s">
        <v>17581</v>
      </c>
      <c r="K5487" s="4" t="s">
        <v>17581</v>
      </c>
      <c r="L5487" s="5">
        <v>34005</v>
      </c>
    </row>
    <row r="5488" spans="1:12" x14ac:dyDescent="0.25">
      <c r="A5488" s="3" t="s">
        <v>16971</v>
      </c>
      <c r="B5488" s="4" t="s">
        <v>17211</v>
      </c>
      <c r="C5488" s="4" t="s">
        <v>14</v>
      </c>
      <c r="D5488" s="4" t="s">
        <v>15</v>
      </c>
      <c r="E5488" s="5" t="str">
        <f>"9120140"</f>
        <v>9120140</v>
      </c>
      <c r="F5488" s="3" t="s">
        <v>17582</v>
      </c>
      <c r="G5488" s="5">
        <v>2223022265</v>
      </c>
      <c r="H5488" s="4" t="s">
        <v>17583</v>
      </c>
      <c r="I5488" s="4" t="s">
        <v>17527</v>
      </c>
      <c r="J5488" s="4" t="s">
        <v>17528</v>
      </c>
      <c r="K5488" s="4" t="s">
        <v>17584</v>
      </c>
      <c r="L5488" s="5">
        <v>34500</v>
      </c>
    </row>
    <row r="5489" spans="1:12" x14ac:dyDescent="0.25">
      <c r="A5489" s="3" t="s">
        <v>16971</v>
      </c>
      <c r="B5489" s="4" t="s">
        <v>17211</v>
      </c>
      <c r="C5489" s="4" t="s">
        <v>14</v>
      </c>
      <c r="D5489" s="4" t="s">
        <v>15</v>
      </c>
      <c r="E5489" s="5" t="str">
        <f>"9120132"</f>
        <v>9120132</v>
      </c>
      <c r="F5489" s="3" t="s">
        <v>17585</v>
      </c>
      <c r="G5489" s="5">
        <v>2222091353</v>
      </c>
      <c r="H5489" s="4" t="s">
        <v>17586</v>
      </c>
      <c r="I5489" s="4" t="s">
        <v>17587</v>
      </c>
      <c r="J5489" s="4" t="s">
        <v>17588</v>
      </c>
      <c r="K5489" s="4" t="s">
        <v>17588</v>
      </c>
      <c r="L5489" s="5">
        <v>34007</v>
      </c>
    </row>
    <row r="5490" spans="1:12" x14ac:dyDescent="0.25">
      <c r="A5490" s="3" t="s">
        <v>16971</v>
      </c>
      <c r="B5490" s="4" t="s">
        <v>17211</v>
      </c>
      <c r="C5490" s="4" t="s">
        <v>14</v>
      </c>
      <c r="D5490" s="4" t="s">
        <v>15</v>
      </c>
      <c r="E5490" s="5" t="str">
        <f>"9120141"</f>
        <v>9120141</v>
      </c>
      <c r="F5490" s="3" t="s">
        <v>17589</v>
      </c>
      <c r="G5490" s="5">
        <v>2223025315</v>
      </c>
      <c r="H5490" s="4" t="s">
        <v>17590</v>
      </c>
      <c r="I5490" s="4" t="s">
        <v>17527</v>
      </c>
      <c r="J5490" s="4" t="s">
        <v>17591</v>
      </c>
      <c r="K5490" s="4" t="s">
        <v>17592</v>
      </c>
      <c r="L5490" s="5">
        <v>34500</v>
      </c>
    </row>
    <row r="5491" spans="1:12" x14ac:dyDescent="0.25">
      <c r="A5491" s="3" t="s">
        <v>16971</v>
      </c>
      <c r="B5491" s="4" t="s">
        <v>17211</v>
      </c>
      <c r="C5491" s="4" t="s">
        <v>25</v>
      </c>
      <c r="D5491" s="4" t="s">
        <v>26</v>
      </c>
      <c r="E5491" s="5" t="str">
        <f>"9120292"</f>
        <v>9120292</v>
      </c>
      <c r="F5491" s="3" t="s">
        <v>17593</v>
      </c>
      <c r="G5491" s="5">
        <v>2222058144</v>
      </c>
      <c r="H5491" s="4" t="s">
        <v>17594</v>
      </c>
      <c r="I5491" s="4" t="s">
        <v>17527</v>
      </c>
      <c r="J5491" s="4" t="s">
        <v>17595</v>
      </c>
      <c r="K5491" s="4" t="s">
        <v>17596</v>
      </c>
      <c r="L5491" s="5">
        <v>34016</v>
      </c>
    </row>
    <row r="5492" spans="1:12" x14ac:dyDescent="0.25">
      <c r="A5492" s="3" t="s">
        <v>16971</v>
      </c>
      <c r="B5492" s="4" t="s">
        <v>17211</v>
      </c>
      <c r="C5492" s="4" t="s">
        <v>14</v>
      </c>
      <c r="D5492" s="4" t="s">
        <v>15</v>
      </c>
      <c r="E5492" s="5" t="str">
        <f>"9120384"</f>
        <v>9120384</v>
      </c>
      <c r="F5492" s="3" t="s">
        <v>17597</v>
      </c>
      <c r="G5492" s="5">
        <v>2221083219</v>
      </c>
      <c r="H5492" s="4" t="s">
        <v>17598</v>
      </c>
      <c r="I5492" s="4" t="s">
        <v>17224</v>
      </c>
      <c r="J5492" s="4" t="s">
        <v>17240</v>
      </c>
      <c r="K5492" s="4" t="s">
        <v>17599</v>
      </c>
      <c r="L5492" s="5">
        <v>34100</v>
      </c>
    </row>
    <row r="5493" spans="1:12" x14ac:dyDescent="0.25">
      <c r="A5493" s="3" t="s">
        <v>16971</v>
      </c>
      <c r="B5493" s="4" t="s">
        <v>17211</v>
      </c>
      <c r="C5493" s="4" t="s">
        <v>14</v>
      </c>
      <c r="D5493" s="4" t="s">
        <v>179</v>
      </c>
      <c r="E5493" s="5" t="str">
        <f>"9120184"</f>
        <v>9120184</v>
      </c>
      <c r="F5493" s="3" t="s">
        <v>17600</v>
      </c>
      <c r="G5493" s="5">
        <v>2222046294</v>
      </c>
      <c r="H5493" s="4" t="s">
        <v>17601</v>
      </c>
      <c r="I5493" s="4" t="s">
        <v>17527</v>
      </c>
      <c r="J5493" s="4" t="s">
        <v>17602</v>
      </c>
      <c r="K5493" s="4"/>
      <c r="L5493" s="5">
        <v>34003</v>
      </c>
    </row>
    <row r="5494" spans="1:12" x14ac:dyDescent="0.25">
      <c r="A5494" s="3" t="s">
        <v>16971</v>
      </c>
      <c r="B5494" s="4" t="s">
        <v>17211</v>
      </c>
      <c r="C5494" s="4" t="s">
        <v>25</v>
      </c>
      <c r="D5494" s="4" t="s">
        <v>26</v>
      </c>
      <c r="E5494" s="5" t="str">
        <f>"9521126"</f>
        <v>9521126</v>
      </c>
      <c r="F5494" s="3" t="s">
        <v>17603</v>
      </c>
      <c r="G5494" s="5">
        <v>2221350573</v>
      </c>
      <c r="H5494" s="4" t="s">
        <v>17604</v>
      </c>
      <c r="I5494" s="4" t="s">
        <v>17224</v>
      </c>
      <c r="J5494" s="4" t="s">
        <v>17240</v>
      </c>
      <c r="K5494" s="4" t="s">
        <v>17605</v>
      </c>
      <c r="L5494" s="5">
        <v>34132</v>
      </c>
    </row>
    <row r="5495" spans="1:12" x14ac:dyDescent="0.25">
      <c r="A5495" s="3" t="s">
        <v>16971</v>
      </c>
      <c r="B5495" s="4" t="s">
        <v>17211</v>
      </c>
      <c r="C5495" s="4" t="s">
        <v>25</v>
      </c>
      <c r="D5495" s="4" t="s">
        <v>26</v>
      </c>
      <c r="E5495" s="5" t="str">
        <f>"9521236"</f>
        <v>9521236</v>
      </c>
      <c r="F5495" s="3" t="s">
        <v>17606</v>
      </c>
      <c r="G5495" s="5">
        <v>2221099070</v>
      </c>
      <c r="H5495" s="4" t="s">
        <v>17607</v>
      </c>
      <c r="I5495" s="4" t="s">
        <v>17224</v>
      </c>
      <c r="J5495" s="4" t="s">
        <v>17236</v>
      </c>
      <c r="K5495" s="4" t="s">
        <v>17608</v>
      </c>
      <c r="L5495" s="5">
        <v>34100</v>
      </c>
    </row>
    <row r="5496" spans="1:12" x14ac:dyDescent="0.25">
      <c r="A5496" s="3" t="s">
        <v>16971</v>
      </c>
      <c r="B5496" s="4" t="s">
        <v>17211</v>
      </c>
      <c r="C5496" s="4" t="s">
        <v>25</v>
      </c>
      <c r="D5496" s="4" t="s">
        <v>26</v>
      </c>
      <c r="E5496" s="5" t="str">
        <f>"9521237"</f>
        <v>9521237</v>
      </c>
      <c r="F5496" s="3" t="s">
        <v>17609</v>
      </c>
      <c r="G5496" s="5">
        <v>2221044472</v>
      </c>
      <c r="H5496" s="4" t="s">
        <v>17610</v>
      </c>
      <c r="I5496" s="4" t="s">
        <v>17224</v>
      </c>
      <c r="J5496" s="4" t="s">
        <v>17461</v>
      </c>
      <c r="K5496" s="4" t="s">
        <v>17611</v>
      </c>
      <c r="L5496" s="5">
        <v>34600</v>
      </c>
    </row>
    <row r="5497" spans="1:12" x14ac:dyDescent="0.25">
      <c r="A5497" s="3" t="s">
        <v>16971</v>
      </c>
      <c r="B5497" s="4" t="s">
        <v>17211</v>
      </c>
      <c r="C5497" s="4" t="s">
        <v>25</v>
      </c>
      <c r="D5497" s="4" t="s">
        <v>26</v>
      </c>
      <c r="E5497" s="5" t="str">
        <f>"9521316"</f>
        <v>9521316</v>
      </c>
      <c r="F5497" s="3" t="s">
        <v>17612</v>
      </c>
      <c r="G5497" s="5">
        <v>2222091608</v>
      </c>
      <c r="H5497" s="4" t="s">
        <v>17613</v>
      </c>
      <c r="I5497" s="4" t="s">
        <v>17587</v>
      </c>
      <c r="J5497" s="4" t="s">
        <v>17588</v>
      </c>
      <c r="K5497" s="4" t="s">
        <v>17588</v>
      </c>
      <c r="L5497" s="5">
        <v>34007</v>
      </c>
    </row>
    <row r="5498" spans="1:12" x14ac:dyDescent="0.25">
      <c r="A5498" s="3" t="s">
        <v>16971</v>
      </c>
      <c r="B5498" s="4" t="s">
        <v>17211</v>
      </c>
      <c r="C5498" s="4" t="s">
        <v>25</v>
      </c>
      <c r="D5498" s="4" t="s">
        <v>26</v>
      </c>
      <c r="E5498" s="5" t="str">
        <f>"9521315"</f>
        <v>9521315</v>
      </c>
      <c r="F5498" s="3" t="s">
        <v>17614</v>
      </c>
      <c r="G5498" s="5">
        <v>2229066383</v>
      </c>
      <c r="H5498" s="4" t="s">
        <v>17615</v>
      </c>
      <c r="I5498" s="4" t="s">
        <v>17214</v>
      </c>
      <c r="J5498" s="4" t="s">
        <v>17214</v>
      </c>
      <c r="K5498" s="4" t="s">
        <v>17616</v>
      </c>
      <c r="L5498" s="5">
        <v>34008</v>
      </c>
    </row>
    <row r="5499" spans="1:12" x14ac:dyDescent="0.25">
      <c r="A5499" s="3" t="s">
        <v>16971</v>
      </c>
      <c r="B5499" s="4" t="s">
        <v>17211</v>
      </c>
      <c r="C5499" s="4" t="s">
        <v>25</v>
      </c>
      <c r="D5499" s="4" t="s">
        <v>26</v>
      </c>
      <c r="E5499" s="5" t="str">
        <f>"9521516"</f>
        <v>9521516</v>
      </c>
      <c r="F5499" s="3" t="s">
        <v>17617</v>
      </c>
      <c r="G5499" s="5">
        <v>2221052128</v>
      </c>
      <c r="H5499" s="4" t="s">
        <v>17618</v>
      </c>
      <c r="I5499" s="4" t="s">
        <v>17224</v>
      </c>
      <c r="J5499" s="4" t="s">
        <v>17447</v>
      </c>
      <c r="K5499" s="4" t="s">
        <v>17619</v>
      </c>
      <c r="L5499" s="5">
        <v>34002</v>
      </c>
    </row>
    <row r="5500" spans="1:12" x14ac:dyDescent="0.25">
      <c r="A5500" s="3" t="s">
        <v>16971</v>
      </c>
      <c r="B5500" s="4" t="s">
        <v>17211</v>
      </c>
      <c r="C5500" s="4" t="s">
        <v>25</v>
      </c>
      <c r="D5500" s="4" t="s">
        <v>26</v>
      </c>
      <c r="E5500" s="5" t="str">
        <f>"9521591"</f>
        <v>9521591</v>
      </c>
      <c r="F5500" s="3" t="s">
        <v>17620</v>
      </c>
      <c r="G5500" s="5">
        <v>2221037790</v>
      </c>
      <c r="H5500" s="4" t="s">
        <v>17621</v>
      </c>
      <c r="I5500" s="4" t="s">
        <v>17224</v>
      </c>
      <c r="J5500" s="4" t="s">
        <v>17240</v>
      </c>
      <c r="K5500" s="4" t="s">
        <v>17622</v>
      </c>
      <c r="L5500" s="5">
        <v>34100</v>
      </c>
    </row>
    <row r="5501" spans="1:12" x14ac:dyDescent="0.25">
      <c r="A5501" s="3" t="s">
        <v>16971</v>
      </c>
      <c r="B5501" s="4" t="s">
        <v>17623</v>
      </c>
      <c r="C5501" s="4" t="s">
        <v>14</v>
      </c>
      <c r="D5501" s="4" t="s">
        <v>15</v>
      </c>
      <c r="E5501" s="5" t="str">
        <f>"9130148"</f>
        <v>9130148</v>
      </c>
      <c r="F5501" s="3" t="s">
        <v>17624</v>
      </c>
      <c r="G5501" s="5">
        <v>2237350318</v>
      </c>
      <c r="H5501" s="4" t="s">
        <v>17625</v>
      </c>
      <c r="I5501" s="4" t="s">
        <v>17626</v>
      </c>
      <c r="J5501" s="4" t="s">
        <v>17627</v>
      </c>
      <c r="K5501" s="4" t="s">
        <v>17628</v>
      </c>
      <c r="L5501" s="5">
        <v>36100</v>
      </c>
    </row>
    <row r="5502" spans="1:12" x14ac:dyDescent="0.25">
      <c r="A5502" s="3" t="s">
        <v>16971</v>
      </c>
      <c r="B5502" s="4" t="s">
        <v>17623</v>
      </c>
      <c r="C5502" s="4" t="s">
        <v>14</v>
      </c>
      <c r="D5502" s="4" t="s">
        <v>179</v>
      </c>
      <c r="E5502" s="5" t="str">
        <f>"9130054"</f>
        <v>9130054</v>
      </c>
      <c r="F5502" s="3" t="s">
        <v>17629</v>
      </c>
      <c r="G5502" s="5">
        <v>2237097241</v>
      </c>
      <c r="H5502" s="4" t="s">
        <v>17630</v>
      </c>
      <c r="I5502" s="4" t="s">
        <v>17631</v>
      </c>
      <c r="J5502" s="4" t="s">
        <v>17632</v>
      </c>
      <c r="K5502" s="4" t="s">
        <v>17633</v>
      </c>
      <c r="L5502" s="5">
        <v>36070</v>
      </c>
    </row>
    <row r="5503" spans="1:12" x14ac:dyDescent="0.25">
      <c r="A5503" s="3" t="s">
        <v>16971</v>
      </c>
      <c r="B5503" s="4" t="s">
        <v>17623</v>
      </c>
      <c r="C5503" s="4" t="s">
        <v>14</v>
      </c>
      <c r="D5503" s="4" t="s">
        <v>179</v>
      </c>
      <c r="E5503" s="5" t="str">
        <f>"9130017"</f>
        <v>9130017</v>
      </c>
      <c r="F5503" s="3" t="s">
        <v>17634</v>
      </c>
      <c r="G5503" s="5">
        <v>2237061254</v>
      </c>
      <c r="H5503" s="4" t="s">
        <v>17635</v>
      </c>
      <c r="I5503" s="4" t="s">
        <v>17631</v>
      </c>
      <c r="J5503" s="4" t="s">
        <v>17636</v>
      </c>
      <c r="K5503" s="4" t="s">
        <v>17637</v>
      </c>
      <c r="L5503" s="5">
        <v>36072</v>
      </c>
    </row>
    <row r="5504" spans="1:12" x14ac:dyDescent="0.25">
      <c r="A5504" s="3" t="s">
        <v>16971</v>
      </c>
      <c r="B5504" s="4" t="s">
        <v>17623</v>
      </c>
      <c r="C5504" s="4" t="s">
        <v>14</v>
      </c>
      <c r="D5504" s="4" t="s">
        <v>15</v>
      </c>
      <c r="E5504" s="5" t="str">
        <f>"9130127"</f>
        <v>9130127</v>
      </c>
      <c r="F5504" s="3" t="s">
        <v>17638</v>
      </c>
      <c r="G5504" s="5">
        <v>2237022693</v>
      </c>
      <c r="H5504" s="4" t="s">
        <v>17639</v>
      </c>
      <c r="I5504" s="4" t="s">
        <v>17626</v>
      </c>
      <c r="J5504" s="4" t="s">
        <v>17640</v>
      </c>
      <c r="K5504" s="4" t="s">
        <v>17641</v>
      </c>
      <c r="L5504" s="5">
        <v>36100</v>
      </c>
    </row>
    <row r="5505" spans="1:12" x14ac:dyDescent="0.25">
      <c r="A5505" s="3" t="s">
        <v>16971</v>
      </c>
      <c r="B5505" s="4" t="s">
        <v>17623</v>
      </c>
      <c r="C5505" s="4" t="s">
        <v>25</v>
      </c>
      <c r="D5505" s="4" t="s">
        <v>26</v>
      </c>
      <c r="E5505" s="5" t="str">
        <f>"9130002"</f>
        <v>9130002</v>
      </c>
      <c r="F5505" s="3" t="s">
        <v>17642</v>
      </c>
      <c r="G5505" s="5">
        <v>2237023312</v>
      </c>
      <c r="H5505" s="4" t="s">
        <v>17643</v>
      </c>
      <c r="I5505" s="4" t="s">
        <v>17626</v>
      </c>
      <c r="J5505" s="4" t="s">
        <v>17626</v>
      </c>
      <c r="K5505" s="4" t="s">
        <v>17644</v>
      </c>
      <c r="L5505" s="5">
        <v>36100</v>
      </c>
    </row>
    <row r="5506" spans="1:12" x14ac:dyDescent="0.25">
      <c r="A5506" s="3" t="s">
        <v>16971</v>
      </c>
      <c r="B5506" s="4" t="s">
        <v>17623</v>
      </c>
      <c r="C5506" s="4" t="s">
        <v>25</v>
      </c>
      <c r="D5506" s="4" t="s">
        <v>26</v>
      </c>
      <c r="E5506" s="5" t="str">
        <f>"9130139"</f>
        <v>9130139</v>
      </c>
      <c r="F5506" s="3" t="s">
        <v>17645</v>
      </c>
      <c r="G5506" s="5">
        <v>2237022021</v>
      </c>
      <c r="H5506" s="4" t="s">
        <v>17646</v>
      </c>
      <c r="I5506" s="4" t="s">
        <v>17626</v>
      </c>
      <c r="J5506" s="4" t="s">
        <v>17626</v>
      </c>
      <c r="K5506" s="4" t="s">
        <v>17647</v>
      </c>
      <c r="L5506" s="5">
        <v>36100</v>
      </c>
    </row>
    <row r="5507" spans="1:12" x14ac:dyDescent="0.25">
      <c r="A5507" s="3" t="s">
        <v>16971</v>
      </c>
      <c r="B5507" s="4" t="s">
        <v>17623</v>
      </c>
      <c r="C5507" s="4" t="s">
        <v>25</v>
      </c>
      <c r="D5507" s="4" t="s">
        <v>26</v>
      </c>
      <c r="E5507" s="5" t="str">
        <f>"9130142"</f>
        <v>9130142</v>
      </c>
      <c r="F5507" s="3" t="s">
        <v>17648</v>
      </c>
      <c r="G5507" s="5">
        <v>2237023611</v>
      </c>
      <c r="H5507" s="4" t="s">
        <v>17649</v>
      </c>
      <c r="I5507" s="4" t="s">
        <v>17626</v>
      </c>
      <c r="J5507" s="4" t="s">
        <v>17626</v>
      </c>
      <c r="K5507" s="4" t="s">
        <v>17628</v>
      </c>
      <c r="L5507" s="5">
        <v>36100</v>
      </c>
    </row>
    <row r="5508" spans="1:12" x14ac:dyDescent="0.25">
      <c r="A5508" s="3" t="s">
        <v>16971</v>
      </c>
      <c r="B5508" s="4" t="s">
        <v>17623</v>
      </c>
      <c r="C5508" s="4" t="s">
        <v>25</v>
      </c>
      <c r="D5508" s="4" t="s">
        <v>26</v>
      </c>
      <c r="E5508" s="5" t="str">
        <f>"9130065"</f>
        <v>9130065</v>
      </c>
      <c r="F5508" s="3" t="s">
        <v>17650</v>
      </c>
      <c r="G5508" s="5">
        <v>2237023092</v>
      </c>
      <c r="H5508" s="4" t="s">
        <v>17651</v>
      </c>
      <c r="I5508" s="4" t="s">
        <v>17626</v>
      </c>
      <c r="J5508" s="4" t="s">
        <v>17626</v>
      </c>
      <c r="K5508" s="4" t="s">
        <v>17652</v>
      </c>
      <c r="L5508" s="5">
        <v>36100</v>
      </c>
    </row>
    <row r="5509" spans="1:12" x14ac:dyDescent="0.25">
      <c r="A5509" s="3" t="s">
        <v>16971</v>
      </c>
      <c r="B5509" s="4" t="s">
        <v>17623</v>
      </c>
      <c r="C5509" s="4" t="s">
        <v>14</v>
      </c>
      <c r="D5509" s="4" t="s">
        <v>15</v>
      </c>
      <c r="E5509" s="5" t="str">
        <f>"9130003"</f>
        <v>9130003</v>
      </c>
      <c r="F5509" s="3" t="s">
        <v>17653</v>
      </c>
      <c r="G5509" s="5">
        <v>2237022266</v>
      </c>
      <c r="H5509" s="4" t="s">
        <v>17654</v>
      </c>
      <c r="I5509" s="4" t="s">
        <v>17626</v>
      </c>
      <c r="J5509" s="4" t="s">
        <v>17640</v>
      </c>
      <c r="K5509" s="4" t="s">
        <v>17655</v>
      </c>
      <c r="L5509" s="5">
        <v>36100</v>
      </c>
    </row>
    <row r="5510" spans="1:12" x14ac:dyDescent="0.25">
      <c r="A5510" s="3" t="s">
        <v>16971</v>
      </c>
      <c r="B5510" s="4" t="s">
        <v>17623</v>
      </c>
      <c r="C5510" s="4" t="s">
        <v>14</v>
      </c>
      <c r="D5510" s="4" t="s">
        <v>15</v>
      </c>
      <c r="E5510" s="5" t="str">
        <f>"9130064"</f>
        <v>9130064</v>
      </c>
      <c r="F5510" s="3" t="s">
        <v>17656</v>
      </c>
      <c r="G5510" s="5">
        <v>2237022777</v>
      </c>
      <c r="H5510" s="4" t="s">
        <v>17657</v>
      </c>
      <c r="I5510" s="4" t="s">
        <v>17626</v>
      </c>
      <c r="J5510" s="4" t="s">
        <v>17627</v>
      </c>
      <c r="K5510" s="4" t="s">
        <v>17652</v>
      </c>
      <c r="L5510" s="5">
        <v>36100</v>
      </c>
    </row>
    <row r="5511" spans="1:12" x14ac:dyDescent="0.25">
      <c r="A5511" s="3" t="s">
        <v>16971</v>
      </c>
      <c r="B5511" s="4" t="s">
        <v>17658</v>
      </c>
      <c r="C5511" s="4" t="s">
        <v>14</v>
      </c>
      <c r="D5511" s="4" t="s">
        <v>15</v>
      </c>
      <c r="E5511" s="5" t="str">
        <f>"9460024"</f>
        <v>9460024</v>
      </c>
      <c r="F5511" s="3" t="s">
        <v>17659</v>
      </c>
      <c r="G5511" s="5">
        <v>2235022200</v>
      </c>
      <c r="H5511" s="4" t="s">
        <v>17660</v>
      </c>
      <c r="I5511" s="4" t="s">
        <v>17661</v>
      </c>
      <c r="J5511" s="4" t="s">
        <v>17662</v>
      </c>
      <c r="K5511" s="4" t="s">
        <v>17663</v>
      </c>
      <c r="L5511" s="5">
        <v>35008</v>
      </c>
    </row>
    <row r="5512" spans="1:12" x14ac:dyDescent="0.25">
      <c r="A5512" s="3" t="s">
        <v>16971</v>
      </c>
      <c r="B5512" s="4" t="s">
        <v>17658</v>
      </c>
      <c r="C5512" s="4" t="s">
        <v>14</v>
      </c>
      <c r="D5512" s="4" t="s">
        <v>15</v>
      </c>
      <c r="E5512" s="5" t="str">
        <f>"9460091"</f>
        <v>9460091</v>
      </c>
      <c r="F5512" s="3" t="s">
        <v>17664</v>
      </c>
      <c r="G5512" s="5">
        <v>2231350164</v>
      </c>
      <c r="H5512" s="4" t="s">
        <v>17665</v>
      </c>
      <c r="I5512" s="4" t="s">
        <v>17666</v>
      </c>
      <c r="J5512" s="4" t="s">
        <v>17667</v>
      </c>
      <c r="K5512" s="4" t="s">
        <v>17668</v>
      </c>
      <c r="L5512" s="5">
        <v>35100</v>
      </c>
    </row>
    <row r="5513" spans="1:12" x14ac:dyDescent="0.25">
      <c r="A5513" s="3" t="s">
        <v>16971</v>
      </c>
      <c r="B5513" s="4" t="s">
        <v>17658</v>
      </c>
      <c r="C5513" s="4" t="s">
        <v>14</v>
      </c>
      <c r="D5513" s="4" t="s">
        <v>15</v>
      </c>
      <c r="E5513" s="5" t="str">
        <f>"9460137"</f>
        <v>9460137</v>
      </c>
      <c r="F5513" s="3" t="s">
        <v>17669</v>
      </c>
      <c r="G5513" s="5">
        <v>2231025548</v>
      </c>
      <c r="H5513" s="4" t="s">
        <v>17670</v>
      </c>
      <c r="I5513" s="4" t="s">
        <v>17666</v>
      </c>
      <c r="J5513" s="4" t="s">
        <v>17667</v>
      </c>
      <c r="K5513" s="4" t="s">
        <v>17671</v>
      </c>
      <c r="L5513" s="5">
        <v>35100</v>
      </c>
    </row>
    <row r="5514" spans="1:12" x14ac:dyDescent="0.25">
      <c r="A5514" s="3" t="s">
        <v>16971</v>
      </c>
      <c r="B5514" s="4" t="s">
        <v>17658</v>
      </c>
      <c r="C5514" s="4" t="s">
        <v>14</v>
      </c>
      <c r="D5514" s="4" t="s">
        <v>15</v>
      </c>
      <c r="E5514" s="5" t="str">
        <f>"9460140"</f>
        <v>9460140</v>
      </c>
      <c r="F5514" s="3" t="s">
        <v>17672</v>
      </c>
      <c r="G5514" s="5">
        <v>2231024824</v>
      </c>
      <c r="H5514" s="4" t="s">
        <v>17673</v>
      </c>
      <c r="I5514" s="4" t="s">
        <v>17666</v>
      </c>
      <c r="J5514" s="4" t="s">
        <v>17667</v>
      </c>
      <c r="K5514" s="4" t="s">
        <v>17674</v>
      </c>
      <c r="L5514" s="5">
        <v>35132</v>
      </c>
    </row>
    <row r="5515" spans="1:12" x14ac:dyDescent="0.25">
      <c r="A5515" s="3" t="s">
        <v>16971</v>
      </c>
      <c r="B5515" s="4" t="s">
        <v>17658</v>
      </c>
      <c r="C5515" s="4" t="s">
        <v>14</v>
      </c>
      <c r="D5515" s="4" t="s">
        <v>15</v>
      </c>
      <c r="E5515" s="5" t="str">
        <f>"9460139"</f>
        <v>9460139</v>
      </c>
      <c r="F5515" s="3" t="s">
        <v>17675</v>
      </c>
      <c r="G5515" s="5">
        <v>2231350114</v>
      </c>
      <c r="H5515" s="4" t="s">
        <v>17676</v>
      </c>
      <c r="I5515" s="4" t="s">
        <v>17666</v>
      </c>
      <c r="J5515" s="4" t="s">
        <v>17667</v>
      </c>
      <c r="K5515" s="4" t="s">
        <v>17677</v>
      </c>
      <c r="L5515" s="5">
        <v>35132</v>
      </c>
    </row>
    <row r="5516" spans="1:12" x14ac:dyDescent="0.25">
      <c r="A5516" s="3" t="s">
        <v>16971</v>
      </c>
      <c r="B5516" s="4" t="s">
        <v>17658</v>
      </c>
      <c r="C5516" s="4" t="s">
        <v>14</v>
      </c>
      <c r="D5516" s="4" t="s">
        <v>15</v>
      </c>
      <c r="E5516" s="5" t="str">
        <f>"9460125"</f>
        <v>9460125</v>
      </c>
      <c r="F5516" s="3" t="s">
        <v>17678</v>
      </c>
      <c r="G5516" s="5">
        <v>2231350118</v>
      </c>
      <c r="H5516" s="4" t="s">
        <v>17679</v>
      </c>
      <c r="I5516" s="4" t="s">
        <v>17666</v>
      </c>
      <c r="J5516" s="4" t="s">
        <v>17680</v>
      </c>
      <c r="K5516" s="4" t="s">
        <v>17681</v>
      </c>
      <c r="L5516" s="5">
        <v>35100</v>
      </c>
    </row>
    <row r="5517" spans="1:12" x14ac:dyDescent="0.25">
      <c r="A5517" s="3" t="s">
        <v>16971</v>
      </c>
      <c r="B5517" s="4" t="s">
        <v>17658</v>
      </c>
      <c r="C5517" s="4" t="s">
        <v>14</v>
      </c>
      <c r="D5517" s="4" t="s">
        <v>15</v>
      </c>
      <c r="E5517" s="5" t="str">
        <f>"9460214"</f>
        <v>9460214</v>
      </c>
      <c r="F5517" s="3" t="s">
        <v>17682</v>
      </c>
      <c r="G5517" s="5">
        <v>2231350128</v>
      </c>
      <c r="H5517" s="4" t="s">
        <v>17683</v>
      </c>
      <c r="I5517" s="4" t="s">
        <v>17666</v>
      </c>
      <c r="J5517" s="4" t="s">
        <v>17667</v>
      </c>
      <c r="K5517" s="4" t="s">
        <v>17684</v>
      </c>
      <c r="L5517" s="5">
        <v>35100</v>
      </c>
    </row>
    <row r="5518" spans="1:12" x14ac:dyDescent="0.25">
      <c r="A5518" s="3" t="s">
        <v>16971</v>
      </c>
      <c r="B5518" s="4" t="s">
        <v>17658</v>
      </c>
      <c r="C5518" s="4" t="s">
        <v>14</v>
      </c>
      <c r="D5518" s="4" t="s">
        <v>15</v>
      </c>
      <c r="E5518" s="5" t="str">
        <f>"9460432"</f>
        <v>9460432</v>
      </c>
      <c r="F5518" s="3" t="s">
        <v>17685</v>
      </c>
      <c r="G5518" s="5">
        <v>2233350818</v>
      </c>
      <c r="H5518" s="4" t="s">
        <v>17686</v>
      </c>
      <c r="I5518" s="4" t="s">
        <v>17687</v>
      </c>
      <c r="J5518" s="4" t="s">
        <v>17688</v>
      </c>
      <c r="K5518" s="4" t="s">
        <v>17286</v>
      </c>
      <c r="L5518" s="5">
        <v>35012</v>
      </c>
    </row>
    <row r="5519" spans="1:12" x14ac:dyDescent="0.25">
      <c r="A5519" s="3" t="s">
        <v>16971</v>
      </c>
      <c r="B5519" s="4" t="s">
        <v>17658</v>
      </c>
      <c r="C5519" s="4" t="s">
        <v>14</v>
      </c>
      <c r="D5519" s="4" t="s">
        <v>15</v>
      </c>
      <c r="E5519" s="5" t="str">
        <f>"9460001"</f>
        <v>9460001</v>
      </c>
      <c r="F5519" s="3" t="s">
        <v>17689</v>
      </c>
      <c r="G5519" s="5">
        <v>2234350523</v>
      </c>
      <c r="H5519" s="4" t="s">
        <v>17690</v>
      </c>
      <c r="I5519" s="4" t="s">
        <v>17691</v>
      </c>
      <c r="J5519" s="4" t="s">
        <v>17692</v>
      </c>
      <c r="K5519" s="4" t="s">
        <v>17693</v>
      </c>
      <c r="L5519" s="5">
        <v>35002</v>
      </c>
    </row>
    <row r="5520" spans="1:12" x14ac:dyDescent="0.25">
      <c r="A5520" s="3" t="s">
        <v>16971</v>
      </c>
      <c r="B5520" s="4" t="s">
        <v>17658</v>
      </c>
      <c r="C5520" s="4" t="s">
        <v>14</v>
      </c>
      <c r="D5520" s="4" t="s">
        <v>15</v>
      </c>
      <c r="E5520" s="5" t="str">
        <f>"9460055"</f>
        <v>9460055</v>
      </c>
      <c r="F5520" s="3" t="s">
        <v>17694</v>
      </c>
      <c r="G5520" s="5">
        <v>2232022568</v>
      </c>
      <c r="H5520" s="4" t="s">
        <v>17695</v>
      </c>
      <c r="I5520" s="4" t="s">
        <v>17696</v>
      </c>
      <c r="J5520" s="4" t="s">
        <v>17697</v>
      </c>
      <c r="K5520" s="4" t="s">
        <v>17698</v>
      </c>
      <c r="L5520" s="5">
        <v>35010</v>
      </c>
    </row>
    <row r="5521" spans="1:12" x14ac:dyDescent="0.25">
      <c r="A5521" s="3" t="s">
        <v>16971</v>
      </c>
      <c r="B5521" s="4" t="s">
        <v>17658</v>
      </c>
      <c r="C5521" s="4" t="s">
        <v>14</v>
      </c>
      <c r="D5521" s="4" t="s">
        <v>15</v>
      </c>
      <c r="E5521" s="5" t="str">
        <f>"9460086"</f>
        <v>9460086</v>
      </c>
      <c r="F5521" s="3" t="s">
        <v>17699</v>
      </c>
      <c r="G5521" s="5">
        <v>2231026370</v>
      </c>
      <c r="H5521" s="4" t="s">
        <v>17700</v>
      </c>
      <c r="I5521" s="4" t="s">
        <v>17666</v>
      </c>
      <c r="J5521" s="4" t="s">
        <v>17667</v>
      </c>
      <c r="K5521" s="4" t="s">
        <v>17701</v>
      </c>
      <c r="L5521" s="5">
        <v>35131</v>
      </c>
    </row>
    <row r="5522" spans="1:12" x14ac:dyDescent="0.25">
      <c r="A5522" s="3" t="s">
        <v>16971</v>
      </c>
      <c r="B5522" s="4" t="s">
        <v>17658</v>
      </c>
      <c r="C5522" s="4" t="s">
        <v>14</v>
      </c>
      <c r="D5522" s="4" t="s">
        <v>15</v>
      </c>
      <c r="E5522" s="5" t="str">
        <f>"9460094"</f>
        <v>9460094</v>
      </c>
      <c r="F5522" s="3" t="s">
        <v>17702</v>
      </c>
      <c r="G5522" s="5">
        <v>2238350440</v>
      </c>
      <c r="H5522" s="4" t="s">
        <v>17703</v>
      </c>
      <c r="I5522" s="4" t="s">
        <v>17704</v>
      </c>
      <c r="J5522" s="4" t="s">
        <v>17705</v>
      </c>
      <c r="K5522" s="4" t="s">
        <v>17706</v>
      </c>
      <c r="L5522" s="5">
        <v>35300</v>
      </c>
    </row>
    <row r="5523" spans="1:12" x14ac:dyDescent="0.25">
      <c r="A5523" s="3" t="s">
        <v>16971</v>
      </c>
      <c r="B5523" s="4" t="s">
        <v>17658</v>
      </c>
      <c r="C5523" s="4" t="s">
        <v>14</v>
      </c>
      <c r="D5523" s="4" t="s">
        <v>15</v>
      </c>
      <c r="E5523" s="5" t="str">
        <f>"9460090"</f>
        <v>9460090</v>
      </c>
      <c r="F5523" s="3" t="s">
        <v>17707</v>
      </c>
      <c r="G5523" s="5">
        <v>2231350195</v>
      </c>
      <c r="H5523" s="4" t="s">
        <v>17708</v>
      </c>
      <c r="I5523" s="4" t="s">
        <v>17666</v>
      </c>
      <c r="J5523" s="4" t="s">
        <v>17667</v>
      </c>
      <c r="K5523" s="4" t="s">
        <v>17709</v>
      </c>
      <c r="L5523" s="5">
        <v>35100</v>
      </c>
    </row>
    <row r="5524" spans="1:12" x14ac:dyDescent="0.25">
      <c r="A5524" s="3" t="s">
        <v>16971</v>
      </c>
      <c r="B5524" s="4" t="s">
        <v>17658</v>
      </c>
      <c r="C5524" s="4" t="s">
        <v>14</v>
      </c>
      <c r="D5524" s="4" t="s">
        <v>15</v>
      </c>
      <c r="E5524" s="5" t="str">
        <f>"9460092"</f>
        <v>9460092</v>
      </c>
      <c r="F5524" s="3" t="s">
        <v>17710</v>
      </c>
      <c r="G5524" s="5">
        <v>2231025308</v>
      </c>
      <c r="H5524" s="4" t="s">
        <v>17711</v>
      </c>
      <c r="I5524" s="4" t="s">
        <v>17666</v>
      </c>
      <c r="J5524" s="4" t="s">
        <v>17667</v>
      </c>
      <c r="K5524" s="4" t="s">
        <v>17712</v>
      </c>
      <c r="L5524" s="5">
        <v>35100</v>
      </c>
    </row>
    <row r="5525" spans="1:12" x14ac:dyDescent="0.25">
      <c r="A5525" s="3" t="s">
        <v>16971</v>
      </c>
      <c r="B5525" s="4" t="s">
        <v>17658</v>
      </c>
      <c r="C5525" s="4" t="s">
        <v>14</v>
      </c>
      <c r="D5525" s="4" t="s">
        <v>15</v>
      </c>
      <c r="E5525" s="5" t="str">
        <f>"9460408"</f>
        <v>9460408</v>
      </c>
      <c r="F5525" s="3" t="s">
        <v>17713</v>
      </c>
      <c r="G5525" s="5">
        <v>2231350141</v>
      </c>
      <c r="H5525" s="4" t="s">
        <v>17714</v>
      </c>
      <c r="I5525" s="4" t="s">
        <v>17666</v>
      </c>
      <c r="J5525" s="4" t="s">
        <v>17667</v>
      </c>
      <c r="K5525" s="4" t="s">
        <v>17715</v>
      </c>
      <c r="L5525" s="5">
        <v>35100</v>
      </c>
    </row>
    <row r="5526" spans="1:12" x14ac:dyDescent="0.25">
      <c r="A5526" s="3" t="s">
        <v>16971</v>
      </c>
      <c r="B5526" s="4" t="s">
        <v>17658</v>
      </c>
      <c r="C5526" s="4" t="s">
        <v>25</v>
      </c>
      <c r="D5526" s="4" t="s">
        <v>26</v>
      </c>
      <c r="E5526" s="5" t="str">
        <f>"9521006"</f>
        <v>9521006</v>
      </c>
      <c r="F5526" s="3" t="s">
        <v>17716</v>
      </c>
      <c r="G5526" s="5">
        <v>2231350142</v>
      </c>
      <c r="H5526" s="4" t="s">
        <v>17717</v>
      </c>
      <c r="I5526" s="4" t="s">
        <v>17666</v>
      </c>
      <c r="J5526" s="4" t="s">
        <v>17667</v>
      </c>
      <c r="K5526" s="4" t="s">
        <v>17718</v>
      </c>
      <c r="L5526" s="5">
        <v>35131</v>
      </c>
    </row>
    <row r="5527" spans="1:12" x14ac:dyDescent="0.25">
      <c r="A5527" s="3" t="s">
        <v>16971</v>
      </c>
      <c r="B5527" s="4" t="s">
        <v>17658</v>
      </c>
      <c r="C5527" s="4" t="s">
        <v>25</v>
      </c>
      <c r="D5527" s="4" t="s">
        <v>26</v>
      </c>
      <c r="E5527" s="5" t="str">
        <f>"9460224"</f>
        <v>9460224</v>
      </c>
      <c r="F5527" s="3" t="s">
        <v>17719</v>
      </c>
      <c r="G5527" s="5">
        <v>2231035574</v>
      </c>
      <c r="H5527" s="4" t="s">
        <v>17720</v>
      </c>
      <c r="I5527" s="4" t="s">
        <v>17666</v>
      </c>
      <c r="J5527" s="4" t="s">
        <v>17721</v>
      </c>
      <c r="K5527" s="4" t="s">
        <v>17722</v>
      </c>
      <c r="L5527" s="5">
        <v>35131</v>
      </c>
    </row>
    <row r="5528" spans="1:12" x14ac:dyDescent="0.25">
      <c r="A5528" s="3" t="s">
        <v>16971</v>
      </c>
      <c r="B5528" s="4" t="s">
        <v>17658</v>
      </c>
      <c r="C5528" s="4" t="s">
        <v>14</v>
      </c>
      <c r="D5528" s="4" t="s">
        <v>15</v>
      </c>
      <c r="E5528" s="5" t="str">
        <f>"9460119"</f>
        <v>9460119</v>
      </c>
      <c r="F5528" s="3" t="s">
        <v>17723</v>
      </c>
      <c r="G5528" s="5">
        <v>2238350428</v>
      </c>
      <c r="H5528" s="4" t="s">
        <v>17724</v>
      </c>
      <c r="I5528" s="4" t="s">
        <v>17704</v>
      </c>
      <c r="J5528" s="4" t="s">
        <v>17725</v>
      </c>
      <c r="K5528" s="4" t="s">
        <v>17726</v>
      </c>
      <c r="L5528" s="5">
        <v>35013</v>
      </c>
    </row>
    <row r="5529" spans="1:12" x14ac:dyDescent="0.25">
      <c r="A5529" s="3" t="s">
        <v>16971</v>
      </c>
      <c r="B5529" s="4" t="s">
        <v>17658</v>
      </c>
      <c r="C5529" s="4" t="s">
        <v>14</v>
      </c>
      <c r="D5529" s="4" t="s">
        <v>15</v>
      </c>
      <c r="E5529" s="5" t="str">
        <f>"9460038"</f>
        <v>9460038</v>
      </c>
      <c r="F5529" s="3" t="s">
        <v>17727</v>
      </c>
      <c r="G5529" s="5">
        <v>2233350639</v>
      </c>
      <c r="H5529" s="4" t="s">
        <v>17728</v>
      </c>
      <c r="I5529" s="4" t="s">
        <v>17687</v>
      </c>
      <c r="J5529" s="4" t="s">
        <v>17729</v>
      </c>
      <c r="K5529" s="4" t="s">
        <v>17730</v>
      </c>
      <c r="L5529" s="5">
        <v>35001</v>
      </c>
    </row>
    <row r="5530" spans="1:12" x14ac:dyDescent="0.25">
      <c r="A5530" s="3" t="s">
        <v>16971</v>
      </c>
      <c r="B5530" s="4" t="s">
        <v>17658</v>
      </c>
      <c r="C5530" s="4" t="s">
        <v>14</v>
      </c>
      <c r="D5530" s="4" t="s">
        <v>15</v>
      </c>
      <c r="E5530" s="5" t="str">
        <f>"9521022"</f>
        <v>9521022</v>
      </c>
      <c r="F5530" s="3" t="s">
        <v>17731</v>
      </c>
      <c r="G5530" s="5">
        <v>2233350644</v>
      </c>
      <c r="H5530" s="4" t="s">
        <v>17732</v>
      </c>
      <c r="I5530" s="4" t="s">
        <v>17687</v>
      </c>
      <c r="J5530" s="4" t="s">
        <v>17733</v>
      </c>
      <c r="K5530" s="4" t="s">
        <v>17734</v>
      </c>
      <c r="L5530" s="5">
        <v>35001</v>
      </c>
    </row>
    <row r="5531" spans="1:12" x14ac:dyDescent="0.25">
      <c r="A5531" s="3" t="s">
        <v>16971</v>
      </c>
      <c r="B5531" s="4" t="s">
        <v>17658</v>
      </c>
      <c r="C5531" s="4" t="s">
        <v>14</v>
      </c>
      <c r="D5531" s="4" t="s">
        <v>15</v>
      </c>
      <c r="E5531" s="5" t="str">
        <f>"9460087"</f>
        <v>9460087</v>
      </c>
      <c r="F5531" s="3" t="s">
        <v>17735</v>
      </c>
      <c r="G5531" s="5">
        <v>2231026317</v>
      </c>
      <c r="H5531" s="4" t="s">
        <v>17736</v>
      </c>
      <c r="I5531" s="4" t="s">
        <v>17666</v>
      </c>
      <c r="J5531" s="4" t="s">
        <v>17737</v>
      </c>
      <c r="K5531" s="4" t="s">
        <v>17738</v>
      </c>
      <c r="L5531" s="5">
        <v>35132</v>
      </c>
    </row>
    <row r="5532" spans="1:12" x14ac:dyDescent="0.25">
      <c r="A5532" s="3" t="s">
        <v>16971</v>
      </c>
      <c r="B5532" s="4" t="s">
        <v>17658</v>
      </c>
      <c r="C5532" s="4" t="s">
        <v>25</v>
      </c>
      <c r="D5532" s="4" t="s">
        <v>26</v>
      </c>
      <c r="E5532" s="5" t="str">
        <f>"9460248"</f>
        <v>9460248</v>
      </c>
      <c r="F5532" s="3" t="s">
        <v>17739</v>
      </c>
      <c r="G5532" s="5">
        <v>2238024809</v>
      </c>
      <c r="H5532" s="4" t="s">
        <v>17740</v>
      </c>
      <c r="I5532" s="4" t="s">
        <v>17704</v>
      </c>
      <c r="J5532" s="4" t="s">
        <v>17741</v>
      </c>
      <c r="K5532" s="4" t="s">
        <v>17706</v>
      </c>
      <c r="L5532" s="5">
        <v>35300</v>
      </c>
    </row>
    <row r="5533" spans="1:12" x14ac:dyDescent="0.25">
      <c r="A5533" s="3" t="s">
        <v>16971</v>
      </c>
      <c r="B5533" s="4" t="s">
        <v>17658</v>
      </c>
      <c r="C5533" s="4" t="s">
        <v>14</v>
      </c>
      <c r="D5533" s="4" t="s">
        <v>15</v>
      </c>
      <c r="E5533" s="5" t="str">
        <f>"9460026"</f>
        <v>9460026</v>
      </c>
      <c r="F5533" s="3" t="s">
        <v>17742</v>
      </c>
      <c r="G5533" s="5">
        <v>2234049354</v>
      </c>
      <c r="H5533" s="4" t="s">
        <v>17743</v>
      </c>
      <c r="I5533" s="4" t="s">
        <v>17691</v>
      </c>
      <c r="J5533" s="4" t="s">
        <v>17744</v>
      </c>
      <c r="K5533" s="4" t="s">
        <v>17744</v>
      </c>
      <c r="L5533" s="5">
        <v>35015</v>
      </c>
    </row>
    <row r="5534" spans="1:12" x14ac:dyDescent="0.25">
      <c r="A5534" s="3" t="s">
        <v>16971</v>
      </c>
      <c r="B5534" s="4" t="s">
        <v>17658</v>
      </c>
      <c r="C5534" s="4" t="s">
        <v>25</v>
      </c>
      <c r="D5534" s="4" t="s">
        <v>26</v>
      </c>
      <c r="E5534" s="5" t="str">
        <f>"9460145"</f>
        <v>9460145</v>
      </c>
      <c r="F5534" s="3" t="s">
        <v>17745</v>
      </c>
      <c r="G5534" s="5">
        <v>2231350127</v>
      </c>
      <c r="H5534" s="4" t="s">
        <v>17746</v>
      </c>
      <c r="I5534" s="4" t="s">
        <v>17666</v>
      </c>
      <c r="J5534" s="4" t="s">
        <v>17747</v>
      </c>
      <c r="K5534" s="4" t="s">
        <v>17748</v>
      </c>
      <c r="L5534" s="5">
        <v>35014</v>
      </c>
    </row>
    <row r="5535" spans="1:12" x14ac:dyDescent="0.25">
      <c r="A5535" s="3" t="s">
        <v>16971</v>
      </c>
      <c r="B5535" s="4" t="s">
        <v>17658</v>
      </c>
      <c r="C5535" s="4" t="s">
        <v>14</v>
      </c>
      <c r="D5535" s="4" t="s">
        <v>15</v>
      </c>
      <c r="E5535" s="5" t="str">
        <f>"9460044"</f>
        <v>9460044</v>
      </c>
      <c r="F5535" s="3" t="s">
        <v>17749</v>
      </c>
      <c r="G5535" s="5">
        <v>2235350335</v>
      </c>
      <c r="H5535" s="4" t="s">
        <v>17750</v>
      </c>
      <c r="I5535" s="4" t="s">
        <v>17661</v>
      </c>
      <c r="J5535" s="4" t="s">
        <v>17751</v>
      </c>
      <c r="K5535" s="4" t="s">
        <v>17752</v>
      </c>
      <c r="L5535" s="5">
        <v>35009</v>
      </c>
    </row>
    <row r="5536" spans="1:12" x14ac:dyDescent="0.25">
      <c r="A5536" s="3" t="s">
        <v>16971</v>
      </c>
      <c r="B5536" s="4" t="s">
        <v>17658</v>
      </c>
      <c r="C5536" s="4" t="s">
        <v>14</v>
      </c>
      <c r="D5536" s="4" t="s">
        <v>15</v>
      </c>
      <c r="E5536" s="5" t="str">
        <f>"9460075"</f>
        <v>9460075</v>
      </c>
      <c r="F5536" s="3" t="s">
        <v>17753</v>
      </c>
      <c r="G5536" s="5">
        <v>2232350542</v>
      </c>
      <c r="H5536" s="4" t="s">
        <v>17754</v>
      </c>
      <c r="I5536" s="4" t="s">
        <v>17696</v>
      </c>
      <c r="J5536" s="4" t="s">
        <v>17755</v>
      </c>
      <c r="K5536" s="4" t="s">
        <v>17756</v>
      </c>
      <c r="L5536" s="5">
        <v>35010</v>
      </c>
    </row>
    <row r="5537" spans="1:12" x14ac:dyDescent="0.25">
      <c r="A5537" s="3" t="s">
        <v>16971</v>
      </c>
      <c r="B5537" s="4" t="s">
        <v>17658</v>
      </c>
      <c r="C5537" s="4" t="s">
        <v>14</v>
      </c>
      <c r="D5537" s="4" t="s">
        <v>15</v>
      </c>
      <c r="E5537" s="5" t="str">
        <f>"9460135"</f>
        <v>9460135</v>
      </c>
      <c r="F5537" s="3" t="s">
        <v>17757</v>
      </c>
      <c r="G5537" s="5">
        <v>2231067658</v>
      </c>
      <c r="H5537" s="4" t="s">
        <v>17758</v>
      </c>
      <c r="I5537" s="4" t="s">
        <v>17666</v>
      </c>
      <c r="J5537" s="4" t="s">
        <v>17667</v>
      </c>
      <c r="K5537" s="4" t="s">
        <v>17759</v>
      </c>
      <c r="L5537" s="5">
        <v>35133</v>
      </c>
    </row>
    <row r="5538" spans="1:12" x14ac:dyDescent="0.25">
      <c r="A5538" s="3" t="s">
        <v>16971</v>
      </c>
      <c r="B5538" s="4" t="s">
        <v>17658</v>
      </c>
      <c r="C5538" s="4" t="s">
        <v>25</v>
      </c>
      <c r="D5538" s="4" t="s">
        <v>26</v>
      </c>
      <c r="E5538" s="5" t="str">
        <f>"9460227"</f>
        <v>9460227</v>
      </c>
      <c r="F5538" s="3" t="s">
        <v>17760</v>
      </c>
      <c r="G5538" s="5">
        <v>2232022361</v>
      </c>
      <c r="H5538" s="4" t="s">
        <v>17761</v>
      </c>
      <c r="I5538" s="4" t="s">
        <v>17696</v>
      </c>
      <c r="J5538" s="4" t="s">
        <v>17696</v>
      </c>
      <c r="K5538" s="4" t="s">
        <v>17698</v>
      </c>
      <c r="L5538" s="5">
        <v>35010</v>
      </c>
    </row>
    <row r="5539" spans="1:12" x14ac:dyDescent="0.25">
      <c r="A5539" s="3" t="s">
        <v>16971</v>
      </c>
      <c r="B5539" s="4" t="s">
        <v>17658</v>
      </c>
      <c r="C5539" s="4" t="s">
        <v>14</v>
      </c>
      <c r="D5539" s="4" t="s">
        <v>15</v>
      </c>
      <c r="E5539" s="5" t="str">
        <f>"9460004"</f>
        <v>9460004</v>
      </c>
      <c r="F5539" s="3" t="s">
        <v>17762</v>
      </c>
      <c r="G5539" s="5">
        <v>2233350635</v>
      </c>
      <c r="H5539" s="4" t="s">
        <v>17763</v>
      </c>
      <c r="I5539" s="4" t="s">
        <v>17687</v>
      </c>
      <c r="J5539" s="4" t="s">
        <v>17764</v>
      </c>
      <c r="K5539" s="4" t="s">
        <v>17765</v>
      </c>
      <c r="L5539" s="5">
        <v>35200</v>
      </c>
    </row>
    <row r="5540" spans="1:12" x14ac:dyDescent="0.25">
      <c r="A5540" s="3" t="s">
        <v>16971</v>
      </c>
      <c r="B5540" s="4" t="s">
        <v>17658</v>
      </c>
      <c r="C5540" s="4" t="s">
        <v>25</v>
      </c>
      <c r="D5540" s="4" t="s">
        <v>26</v>
      </c>
      <c r="E5540" s="5" t="str">
        <f>"9460237"</f>
        <v>9460237</v>
      </c>
      <c r="F5540" s="3" t="s">
        <v>17766</v>
      </c>
      <c r="G5540" s="5">
        <v>2236350523</v>
      </c>
      <c r="H5540" s="4" t="s">
        <v>17767</v>
      </c>
      <c r="I5540" s="4" t="s">
        <v>17768</v>
      </c>
      <c r="J5540" s="4" t="s">
        <v>17768</v>
      </c>
      <c r="K5540" s="4" t="s">
        <v>17769</v>
      </c>
      <c r="L5540" s="5">
        <v>35011</v>
      </c>
    </row>
    <row r="5541" spans="1:12" x14ac:dyDescent="0.25">
      <c r="A5541" s="3" t="s">
        <v>16971</v>
      </c>
      <c r="B5541" s="4" t="s">
        <v>17658</v>
      </c>
      <c r="C5541" s="4" t="s">
        <v>25</v>
      </c>
      <c r="D5541" s="4" t="s">
        <v>26</v>
      </c>
      <c r="E5541" s="5" t="str">
        <f>"9460236"</f>
        <v>9460236</v>
      </c>
      <c r="F5541" s="3" t="s">
        <v>17770</v>
      </c>
      <c r="G5541" s="5">
        <v>2231350202</v>
      </c>
      <c r="H5541" s="4" t="s">
        <v>17771</v>
      </c>
      <c r="I5541" s="4" t="s">
        <v>17666</v>
      </c>
      <c r="J5541" s="4" t="s">
        <v>17721</v>
      </c>
      <c r="K5541" s="4" t="s">
        <v>17772</v>
      </c>
      <c r="L5541" s="5">
        <v>35100</v>
      </c>
    </row>
    <row r="5542" spans="1:12" x14ac:dyDescent="0.25">
      <c r="A5542" s="3" t="s">
        <v>16971</v>
      </c>
      <c r="B5542" s="4" t="s">
        <v>17658</v>
      </c>
      <c r="C5542" s="4" t="s">
        <v>14</v>
      </c>
      <c r="D5542" s="4" t="s">
        <v>15</v>
      </c>
      <c r="E5542" s="5" t="str">
        <f>"9460247"</f>
        <v>9460247</v>
      </c>
      <c r="F5542" s="3" t="s">
        <v>17773</v>
      </c>
      <c r="G5542" s="5">
        <v>2231023811</v>
      </c>
      <c r="H5542" s="4" t="s">
        <v>17774</v>
      </c>
      <c r="I5542" s="4" t="s">
        <v>17666</v>
      </c>
      <c r="J5542" s="4" t="s">
        <v>17667</v>
      </c>
      <c r="K5542" s="4" t="s">
        <v>17775</v>
      </c>
      <c r="L5542" s="5">
        <v>35100</v>
      </c>
    </row>
    <row r="5543" spans="1:12" x14ac:dyDescent="0.25">
      <c r="A5543" s="3" t="s">
        <v>16971</v>
      </c>
      <c r="B5543" s="4" t="s">
        <v>17658</v>
      </c>
      <c r="C5543" s="4" t="s">
        <v>14</v>
      </c>
      <c r="D5543" s="4" t="s">
        <v>15</v>
      </c>
      <c r="E5543" s="5" t="str">
        <f>"9460095"</f>
        <v>9460095</v>
      </c>
      <c r="F5543" s="3" t="s">
        <v>17776</v>
      </c>
      <c r="G5543" s="5">
        <v>2238350423</v>
      </c>
      <c r="H5543" s="4" t="s">
        <v>17777</v>
      </c>
      <c r="I5543" s="4" t="s">
        <v>17704</v>
      </c>
      <c r="J5543" s="4" t="s">
        <v>17705</v>
      </c>
      <c r="K5543" s="4" t="s">
        <v>17778</v>
      </c>
      <c r="L5543" s="5">
        <v>35300</v>
      </c>
    </row>
    <row r="5544" spans="1:12" x14ac:dyDescent="0.25">
      <c r="A5544" s="3" t="s">
        <v>16971</v>
      </c>
      <c r="B5544" s="4" t="s">
        <v>17658</v>
      </c>
      <c r="C5544" s="4" t="s">
        <v>25</v>
      </c>
      <c r="D5544" s="4" t="s">
        <v>26</v>
      </c>
      <c r="E5544" s="5" t="str">
        <f>"9460231"</f>
        <v>9460231</v>
      </c>
      <c r="F5544" s="3" t="s">
        <v>17779</v>
      </c>
      <c r="G5544" s="5">
        <v>2231038393</v>
      </c>
      <c r="H5544" s="4" t="s">
        <v>17780</v>
      </c>
      <c r="I5544" s="4" t="s">
        <v>17666</v>
      </c>
      <c r="J5544" s="4" t="s">
        <v>17721</v>
      </c>
      <c r="K5544" s="4" t="s">
        <v>17781</v>
      </c>
      <c r="L5544" s="5">
        <v>35100</v>
      </c>
    </row>
    <row r="5545" spans="1:12" x14ac:dyDescent="0.25">
      <c r="A5545" s="3" t="s">
        <v>16971</v>
      </c>
      <c r="B5545" s="4" t="s">
        <v>17658</v>
      </c>
      <c r="C5545" s="4" t="s">
        <v>25</v>
      </c>
      <c r="D5545" s="4" t="s">
        <v>26</v>
      </c>
      <c r="E5545" s="5" t="str">
        <f>"9460240"</f>
        <v>9460240</v>
      </c>
      <c r="F5545" s="3" t="s">
        <v>17782</v>
      </c>
      <c r="G5545" s="5">
        <v>2234049498</v>
      </c>
      <c r="H5545" s="4" t="s">
        <v>17783</v>
      </c>
      <c r="I5545" s="4" t="s">
        <v>17691</v>
      </c>
      <c r="J5545" s="4" t="s">
        <v>17784</v>
      </c>
      <c r="K5545" s="4" t="s">
        <v>17744</v>
      </c>
      <c r="L5545" s="5">
        <v>35015</v>
      </c>
    </row>
    <row r="5546" spans="1:12" x14ac:dyDescent="0.25">
      <c r="A5546" s="3" t="s">
        <v>16971</v>
      </c>
      <c r="B5546" s="4" t="s">
        <v>17658</v>
      </c>
      <c r="C5546" s="4" t="s">
        <v>14</v>
      </c>
      <c r="D5546" s="4" t="s">
        <v>15</v>
      </c>
      <c r="E5546" s="5" t="str">
        <f>"9460124"</f>
        <v>9460124</v>
      </c>
      <c r="F5546" s="3" t="s">
        <v>17785</v>
      </c>
      <c r="G5546" s="5">
        <v>2238350474</v>
      </c>
      <c r="H5546" s="4" t="s">
        <v>17786</v>
      </c>
      <c r="I5546" s="4" t="s">
        <v>17704</v>
      </c>
      <c r="J5546" s="4" t="s">
        <v>17787</v>
      </c>
      <c r="K5546" s="4" t="s">
        <v>17788</v>
      </c>
      <c r="L5546" s="5">
        <v>35300</v>
      </c>
    </row>
    <row r="5547" spans="1:12" x14ac:dyDescent="0.25">
      <c r="A5547" s="3" t="s">
        <v>16971</v>
      </c>
      <c r="B5547" s="4" t="s">
        <v>17658</v>
      </c>
      <c r="C5547" s="4" t="s">
        <v>25</v>
      </c>
      <c r="D5547" s="4" t="s">
        <v>26</v>
      </c>
      <c r="E5547" s="5" t="str">
        <f>"9460223"</f>
        <v>9460223</v>
      </c>
      <c r="F5547" s="3" t="s">
        <v>17789</v>
      </c>
      <c r="G5547" s="5">
        <v>2231350106</v>
      </c>
      <c r="H5547" s="4" t="s">
        <v>17790</v>
      </c>
      <c r="I5547" s="4" t="s">
        <v>17666</v>
      </c>
      <c r="J5547" s="4" t="s">
        <v>17721</v>
      </c>
      <c r="K5547" s="4" t="s">
        <v>17791</v>
      </c>
      <c r="L5547" s="5">
        <v>35133</v>
      </c>
    </row>
    <row r="5548" spans="1:12" x14ac:dyDescent="0.25">
      <c r="A5548" s="3" t="s">
        <v>16971</v>
      </c>
      <c r="B5548" s="4" t="s">
        <v>17658</v>
      </c>
      <c r="C5548" s="4" t="s">
        <v>25</v>
      </c>
      <c r="D5548" s="4" t="s">
        <v>26</v>
      </c>
      <c r="E5548" s="5" t="str">
        <f>"9460249"</f>
        <v>9460249</v>
      </c>
      <c r="F5548" s="3" t="s">
        <v>17792</v>
      </c>
      <c r="G5548" s="5">
        <v>2238024140</v>
      </c>
      <c r="H5548" s="4" t="s">
        <v>17793</v>
      </c>
      <c r="I5548" s="4" t="s">
        <v>17704</v>
      </c>
      <c r="J5548" s="4" t="s">
        <v>17741</v>
      </c>
      <c r="K5548" s="4" t="s">
        <v>17794</v>
      </c>
      <c r="L5548" s="5">
        <v>35300</v>
      </c>
    </row>
    <row r="5549" spans="1:12" x14ac:dyDescent="0.25">
      <c r="A5549" s="3" t="s">
        <v>16971</v>
      </c>
      <c r="B5549" s="4" t="s">
        <v>17658</v>
      </c>
      <c r="C5549" s="4" t="s">
        <v>25</v>
      </c>
      <c r="D5549" s="4" t="s">
        <v>26</v>
      </c>
      <c r="E5549" s="5" t="str">
        <f>"9520719"</f>
        <v>9520719</v>
      </c>
      <c r="F5549" s="3" t="s">
        <v>17795</v>
      </c>
      <c r="G5549" s="5">
        <v>2231350113</v>
      </c>
      <c r="H5549" s="4" t="s">
        <v>17796</v>
      </c>
      <c r="I5549" s="4" t="s">
        <v>17666</v>
      </c>
      <c r="J5549" s="4" t="s">
        <v>17721</v>
      </c>
      <c r="K5549" s="4" t="s">
        <v>17797</v>
      </c>
      <c r="L5549" s="5">
        <v>35100</v>
      </c>
    </row>
    <row r="5550" spans="1:12" x14ac:dyDescent="0.25">
      <c r="A5550" s="3" t="s">
        <v>16971</v>
      </c>
      <c r="B5550" s="4" t="s">
        <v>17658</v>
      </c>
      <c r="C5550" s="4" t="s">
        <v>25</v>
      </c>
      <c r="D5550" s="4" t="s">
        <v>26</v>
      </c>
      <c r="E5550" s="5" t="str">
        <f>"9460003"</f>
        <v>9460003</v>
      </c>
      <c r="F5550" s="3" t="s">
        <v>17798</v>
      </c>
      <c r="G5550" s="5">
        <v>2233350616</v>
      </c>
      <c r="H5550" s="4" t="s">
        <v>17799</v>
      </c>
      <c r="I5550" s="4" t="s">
        <v>17687</v>
      </c>
      <c r="J5550" s="4" t="s">
        <v>17800</v>
      </c>
      <c r="K5550" s="4" t="s">
        <v>17801</v>
      </c>
      <c r="L5550" s="5">
        <v>35200</v>
      </c>
    </row>
    <row r="5551" spans="1:12" x14ac:dyDescent="0.25">
      <c r="A5551" s="3" t="s">
        <v>16971</v>
      </c>
      <c r="B5551" s="4" t="s">
        <v>17658</v>
      </c>
      <c r="C5551" s="4" t="s">
        <v>14</v>
      </c>
      <c r="D5551" s="4" t="s">
        <v>15</v>
      </c>
      <c r="E5551" s="5" t="str">
        <f>"9460136"</f>
        <v>9460136</v>
      </c>
      <c r="F5551" s="3" t="s">
        <v>17802</v>
      </c>
      <c r="G5551" s="5">
        <v>2231350186</v>
      </c>
      <c r="H5551" s="4" t="s">
        <v>17803</v>
      </c>
      <c r="I5551" s="4" t="s">
        <v>17666</v>
      </c>
      <c r="J5551" s="4" t="s">
        <v>17737</v>
      </c>
      <c r="K5551" s="4" t="s">
        <v>17804</v>
      </c>
      <c r="L5551" s="5">
        <v>35132</v>
      </c>
    </row>
    <row r="5552" spans="1:12" x14ac:dyDescent="0.25">
      <c r="A5552" s="3" t="s">
        <v>16971</v>
      </c>
      <c r="B5552" s="4" t="s">
        <v>17658</v>
      </c>
      <c r="C5552" s="4" t="s">
        <v>14</v>
      </c>
      <c r="D5552" s="4" t="s">
        <v>15</v>
      </c>
      <c r="E5552" s="5" t="str">
        <f>"9520690"</f>
        <v>9520690</v>
      </c>
      <c r="F5552" s="3" t="s">
        <v>17805</v>
      </c>
      <c r="G5552" s="5">
        <v>2231350187</v>
      </c>
      <c r="H5552" s="4" t="s">
        <v>17806</v>
      </c>
      <c r="I5552" s="4" t="s">
        <v>17666</v>
      </c>
      <c r="J5552" s="4" t="s">
        <v>17667</v>
      </c>
      <c r="K5552" s="4" t="s">
        <v>17804</v>
      </c>
      <c r="L5552" s="5">
        <v>35132</v>
      </c>
    </row>
    <row r="5553" spans="1:12" x14ac:dyDescent="0.25">
      <c r="A5553" s="3" t="s">
        <v>16971</v>
      </c>
      <c r="B5553" s="4" t="s">
        <v>17658</v>
      </c>
      <c r="C5553" s="4" t="s">
        <v>14</v>
      </c>
      <c r="D5553" s="4" t="s">
        <v>15</v>
      </c>
      <c r="E5553" s="5" t="str">
        <f>"9460009"</f>
        <v>9460009</v>
      </c>
      <c r="F5553" s="3" t="s">
        <v>17807</v>
      </c>
      <c r="G5553" s="5">
        <v>2235031641</v>
      </c>
      <c r="H5553" s="4" t="s">
        <v>17808</v>
      </c>
      <c r="I5553" s="4" t="s">
        <v>17661</v>
      </c>
      <c r="J5553" s="4" t="s">
        <v>7053</v>
      </c>
      <c r="K5553" s="4" t="s">
        <v>17809</v>
      </c>
      <c r="L5553" s="5">
        <v>35006</v>
      </c>
    </row>
    <row r="5554" spans="1:12" x14ac:dyDescent="0.25">
      <c r="A5554" s="3" t="s">
        <v>16971</v>
      </c>
      <c r="B5554" s="4" t="s">
        <v>17658</v>
      </c>
      <c r="C5554" s="4" t="s">
        <v>25</v>
      </c>
      <c r="D5554" s="4" t="s">
        <v>26</v>
      </c>
      <c r="E5554" s="5" t="str">
        <f>"9521003"</f>
        <v>9521003</v>
      </c>
      <c r="F5554" s="3" t="s">
        <v>17810</v>
      </c>
      <c r="G5554" s="5">
        <v>2231350212</v>
      </c>
      <c r="H5554" s="4" t="s">
        <v>17811</v>
      </c>
      <c r="I5554" s="4" t="s">
        <v>17666</v>
      </c>
      <c r="J5554" s="4" t="s">
        <v>17667</v>
      </c>
      <c r="K5554" s="4" t="s">
        <v>17812</v>
      </c>
      <c r="L5554" s="5">
        <v>35132</v>
      </c>
    </row>
    <row r="5555" spans="1:12" x14ac:dyDescent="0.25">
      <c r="A5555" s="3" t="s">
        <v>16971</v>
      </c>
      <c r="B5555" s="4" t="s">
        <v>17658</v>
      </c>
      <c r="C5555" s="4" t="s">
        <v>25</v>
      </c>
      <c r="D5555" s="4" t="s">
        <v>26</v>
      </c>
      <c r="E5555" s="5" t="str">
        <f>"9460263"</f>
        <v>9460263</v>
      </c>
      <c r="F5555" s="3" t="s">
        <v>17813</v>
      </c>
      <c r="G5555" s="5">
        <v>2231026417</v>
      </c>
      <c r="H5555" s="4" t="s">
        <v>17814</v>
      </c>
      <c r="I5555" s="4" t="s">
        <v>17666</v>
      </c>
      <c r="J5555" s="4" t="s">
        <v>17721</v>
      </c>
      <c r="K5555" s="4" t="s">
        <v>17815</v>
      </c>
      <c r="L5555" s="5">
        <v>35100</v>
      </c>
    </row>
    <row r="5556" spans="1:12" x14ac:dyDescent="0.25">
      <c r="A5556" s="3" t="s">
        <v>16971</v>
      </c>
      <c r="B5556" s="4" t="s">
        <v>17658</v>
      </c>
      <c r="C5556" s="4" t="s">
        <v>14</v>
      </c>
      <c r="D5556" s="4" t="s">
        <v>15</v>
      </c>
      <c r="E5556" s="5" t="str">
        <f>"9460093"</f>
        <v>9460093</v>
      </c>
      <c r="F5556" s="3" t="s">
        <v>17816</v>
      </c>
      <c r="G5556" s="5">
        <v>2231026312</v>
      </c>
      <c r="H5556" s="4" t="s">
        <v>17817</v>
      </c>
      <c r="I5556" s="4" t="s">
        <v>17666</v>
      </c>
      <c r="J5556" s="4" t="s">
        <v>17737</v>
      </c>
      <c r="K5556" s="4" t="s">
        <v>17818</v>
      </c>
      <c r="L5556" s="5">
        <v>35132</v>
      </c>
    </row>
    <row r="5557" spans="1:12" x14ac:dyDescent="0.25">
      <c r="A5557" s="3" t="s">
        <v>16971</v>
      </c>
      <c r="B5557" s="4" t="s">
        <v>17658</v>
      </c>
      <c r="C5557" s="4" t="s">
        <v>25</v>
      </c>
      <c r="D5557" s="4" t="s">
        <v>26</v>
      </c>
      <c r="E5557" s="5" t="str">
        <f>"9460422"</f>
        <v>9460422</v>
      </c>
      <c r="F5557" s="3" t="s">
        <v>17819</v>
      </c>
      <c r="G5557" s="5">
        <v>2231047254</v>
      </c>
      <c r="H5557" s="4" t="s">
        <v>17820</v>
      </c>
      <c r="I5557" s="4" t="s">
        <v>17666</v>
      </c>
      <c r="J5557" s="4" t="s">
        <v>17721</v>
      </c>
      <c r="K5557" s="4" t="s">
        <v>17821</v>
      </c>
      <c r="L5557" s="5">
        <v>35100</v>
      </c>
    </row>
    <row r="5558" spans="1:12" x14ac:dyDescent="0.25">
      <c r="A5558" s="3" t="s">
        <v>16971</v>
      </c>
      <c r="B5558" s="4" t="s">
        <v>17658</v>
      </c>
      <c r="C5558" s="4" t="s">
        <v>14</v>
      </c>
      <c r="D5558" s="4" t="s">
        <v>15</v>
      </c>
      <c r="E5558" s="5" t="str">
        <f>"9460126"</f>
        <v>9460126</v>
      </c>
      <c r="F5558" s="3" t="s">
        <v>17822</v>
      </c>
      <c r="G5558" s="5">
        <v>2231350112</v>
      </c>
      <c r="H5558" s="4" t="s">
        <v>17823</v>
      </c>
      <c r="I5558" s="4" t="s">
        <v>17666</v>
      </c>
      <c r="J5558" s="4" t="s">
        <v>17824</v>
      </c>
      <c r="K5558" s="4" t="s">
        <v>17825</v>
      </c>
      <c r="L5558" s="5">
        <v>35132</v>
      </c>
    </row>
    <row r="5559" spans="1:12" x14ac:dyDescent="0.25">
      <c r="A5559" s="3" t="s">
        <v>16971</v>
      </c>
      <c r="B5559" s="4" t="s">
        <v>17658</v>
      </c>
      <c r="C5559" s="4" t="s">
        <v>25</v>
      </c>
      <c r="D5559" s="4" t="s">
        <v>26</v>
      </c>
      <c r="E5559" s="5" t="str">
        <f>"9460252"</f>
        <v>9460252</v>
      </c>
      <c r="F5559" s="3" t="s">
        <v>17826</v>
      </c>
      <c r="G5559" s="5">
        <v>2238350429</v>
      </c>
      <c r="H5559" s="4" t="s">
        <v>17827</v>
      </c>
      <c r="I5559" s="4" t="s">
        <v>17704</v>
      </c>
      <c r="J5559" s="4" t="s">
        <v>17726</v>
      </c>
      <c r="K5559" s="4" t="s">
        <v>15683</v>
      </c>
      <c r="L5559" s="5">
        <v>35013</v>
      </c>
    </row>
    <row r="5560" spans="1:12" x14ac:dyDescent="0.25">
      <c r="A5560" s="3" t="s">
        <v>16971</v>
      </c>
      <c r="B5560" s="4" t="s">
        <v>17658</v>
      </c>
      <c r="C5560" s="4" t="s">
        <v>14</v>
      </c>
      <c r="D5560" s="4" t="s">
        <v>15</v>
      </c>
      <c r="E5560" s="5" t="str">
        <f>"9460005"</f>
        <v>9460005</v>
      </c>
      <c r="F5560" s="3" t="s">
        <v>17828</v>
      </c>
      <c r="G5560" s="5">
        <v>2233022432</v>
      </c>
      <c r="H5560" s="4" t="s">
        <v>17829</v>
      </c>
      <c r="I5560" s="4" t="s">
        <v>17687</v>
      </c>
      <c r="J5560" s="4" t="s">
        <v>17764</v>
      </c>
      <c r="K5560" s="4" t="s">
        <v>17830</v>
      </c>
      <c r="L5560" s="5">
        <v>35200</v>
      </c>
    </row>
    <row r="5561" spans="1:12" x14ac:dyDescent="0.25">
      <c r="A5561" s="3" t="s">
        <v>16971</v>
      </c>
      <c r="B5561" s="4" t="s">
        <v>17658</v>
      </c>
      <c r="C5561" s="4" t="s">
        <v>25</v>
      </c>
      <c r="D5561" s="4" t="s">
        <v>26</v>
      </c>
      <c r="E5561" s="5" t="str">
        <f>"9460251"</f>
        <v>9460251</v>
      </c>
      <c r="F5561" s="3" t="s">
        <v>17831</v>
      </c>
      <c r="G5561" s="5">
        <v>2233350637</v>
      </c>
      <c r="H5561" s="4" t="s">
        <v>17832</v>
      </c>
      <c r="I5561" s="4" t="s">
        <v>17687</v>
      </c>
      <c r="J5561" s="4" t="s">
        <v>17800</v>
      </c>
      <c r="K5561" s="4" t="s">
        <v>17833</v>
      </c>
      <c r="L5561" s="5">
        <v>35200</v>
      </c>
    </row>
    <row r="5562" spans="1:12" x14ac:dyDescent="0.25">
      <c r="A5562" s="3" t="s">
        <v>16971</v>
      </c>
      <c r="B5562" s="4" t="s">
        <v>17658</v>
      </c>
      <c r="C5562" s="4" t="s">
        <v>25</v>
      </c>
      <c r="D5562" s="4" t="s">
        <v>26</v>
      </c>
      <c r="E5562" s="5" t="str">
        <f>"9460260"</f>
        <v>9460260</v>
      </c>
      <c r="F5562" s="3" t="s">
        <v>17834</v>
      </c>
      <c r="G5562" s="5">
        <v>2235350311</v>
      </c>
      <c r="H5562" s="4" t="s">
        <v>17835</v>
      </c>
      <c r="I5562" s="4" t="s">
        <v>17661</v>
      </c>
      <c r="J5562" s="4" t="s">
        <v>17836</v>
      </c>
      <c r="K5562" s="4" t="s">
        <v>17837</v>
      </c>
      <c r="L5562" s="5">
        <v>35006</v>
      </c>
    </row>
    <row r="5563" spans="1:12" x14ac:dyDescent="0.25">
      <c r="A5563" s="3" t="s">
        <v>16971</v>
      </c>
      <c r="B5563" s="4" t="s">
        <v>17658</v>
      </c>
      <c r="C5563" s="4" t="s">
        <v>14</v>
      </c>
      <c r="D5563" s="4" t="s">
        <v>15</v>
      </c>
      <c r="E5563" s="5" t="str">
        <f>"9460089"</f>
        <v>9460089</v>
      </c>
      <c r="F5563" s="3" t="s">
        <v>17838</v>
      </c>
      <c r="G5563" s="5">
        <v>2231026783</v>
      </c>
      <c r="H5563" s="4" t="s">
        <v>17839</v>
      </c>
      <c r="I5563" s="4" t="s">
        <v>17666</v>
      </c>
      <c r="J5563" s="4" t="s">
        <v>17667</v>
      </c>
      <c r="K5563" s="4" t="s">
        <v>17722</v>
      </c>
      <c r="L5563" s="5">
        <v>35131</v>
      </c>
    </row>
    <row r="5564" spans="1:12" x14ac:dyDescent="0.25">
      <c r="A5564" s="3" t="s">
        <v>16971</v>
      </c>
      <c r="B5564" s="4" t="s">
        <v>17658</v>
      </c>
      <c r="C5564" s="4" t="s">
        <v>14</v>
      </c>
      <c r="D5564" s="4" t="s">
        <v>15</v>
      </c>
      <c r="E5564" s="5" t="str">
        <f>"9460033"</f>
        <v>9460033</v>
      </c>
      <c r="F5564" s="3" t="s">
        <v>17840</v>
      </c>
      <c r="G5564" s="5">
        <v>2233350613</v>
      </c>
      <c r="H5564" s="4" t="s">
        <v>17841</v>
      </c>
      <c r="I5564" s="4" t="s">
        <v>17687</v>
      </c>
      <c r="J5564" s="4" t="s">
        <v>17842</v>
      </c>
      <c r="K5564" s="4" t="s">
        <v>17843</v>
      </c>
      <c r="L5564" s="5">
        <v>35007</v>
      </c>
    </row>
    <row r="5565" spans="1:12" x14ac:dyDescent="0.25">
      <c r="A5565" s="3" t="s">
        <v>16971</v>
      </c>
      <c r="B5565" s="4" t="s">
        <v>17658</v>
      </c>
      <c r="C5565" s="4" t="s">
        <v>25</v>
      </c>
      <c r="D5565" s="4" t="s">
        <v>26</v>
      </c>
      <c r="E5565" s="5" t="str">
        <f>"9460234"</f>
        <v>9460234</v>
      </c>
      <c r="F5565" s="3" t="s">
        <v>17844</v>
      </c>
      <c r="G5565" s="5">
        <v>2231350105</v>
      </c>
      <c r="H5565" s="4" t="s">
        <v>17845</v>
      </c>
      <c r="I5565" s="4" t="s">
        <v>17666</v>
      </c>
      <c r="J5565" s="4" t="s">
        <v>17721</v>
      </c>
      <c r="K5565" s="4" t="s">
        <v>17846</v>
      </c>
      <c r="L5565" s="5">
        <v>35100</v>
      </c>
    </row>
    <row r="5566" spans="1:12" x14ac:dyDescent="0.25">
      <c r="A5566" s="3" t="s">
        <v>16971</v>
      </c>
      <c r="B5566" s="4" t="s">
        <v>17658</v>
      </c>
      <c r="C5566" s="4" t="s">
        <v>25</v>
      </c>
      <c r="D5566" s="4" t="s">
        <v>26</v>
      </c>
      <c r="E5566" s="5" t="str">
        <f>"9460242"</f>
        <v>9460242</v>
      </c>
      <c r="F5566" s="3" t="s">
        <v>17847</v>
      </c>
      <c r="G5566" s="5">
        <v>2235350337</v>
      </c>
      <c r="H5566" s="4" t="s">
        <v>17848</v>
      </c>
      <c r="I5566" s="4" t="s">
        <v>17661</v>
      </c>
      <c r="J5566" s="4" t="s">
        <v>17661</v>
      </c>
      <c r="K5566" s="4" t="s">
        <v>17849</v>
      </c>
      <c r="L5566" s="5">
        <v>35008</v>
      </c>
    </row>
    <row r="5567" spans="1:12" x14ac:dyDescent="0.25">
      <c r="A5567" s="3" t="s">
        <v>16971</v>
      </c>
      <c r="B5567" s="4" t="s">
        <v>17658</v>
      </c>
      <c r="C5567" s="4" t="s">
        <v>25</v>
      </c>
      <c r="D5567" s="4" t="s">
        <v>26</v>
      </c>
      <c r="E5567" s="5" t="str">
        <f>"9460034"</f>
        <v>9460034</v>
      </c>
      <c r="F5567" s="3" t="s">
        <v>17850</v>
      </c>
      <c r="G5567" s="5">
        <v>2233350630</v>
      </c>
      <c r="H5567" s="4" t="s">
        <v>17851</v>
      </c>
      <c r="I5567" s="4" t="s">
        <v>17687</v>
      </c>
      <c r="J5567" s="4" t="s">
        <v>17852</v>
      </c>
      <c r="K5567" s="4" t="s">
        <v>17842</v>
      </c>
      <c r="L5567" s="5">
        <v>35200</v>
      </c>
    </row>
    <row r="5568" spans="1:12" x14ac:dyDescent="0.25">
      <c r="A5568" s="3" t="s">
        <v>16971</v>
      </c>
      <c r="B5568" s="4" t="s">
        <v>17658</v>
      </c>
      <c r="C5568" s="4" t="s">
        <v>25</v>
      </c>
      <c r="D5568" s="4" t="s">
        <v>26</v>
      </c>
      <c r="E5568" s="5" t="str">
        <f>"9460037"</f>
        <v>9460037</v>
      </c>
      <c r="F5568" s="3" t="s">
        <v>17853</v>
      </c>
      <c r="G5568" s="5">
        <v>2233052160</v>
      </c>
      <c r="H5568" s="4" t="s">
        <v>17854</v>
      </c>
      <c r="I5568" s="4" t="s">
        <v>17687</v>
      </c>
      <c r="J5568" s="4" t="s">
        <v>17855</v>
      </c>
      <c r="K5568" s="4" t="s">
        <v>17856</v>
      </c>
      <c r="L5568" s="5">
        <v>35001</v>
      </c>
    </row>
    <row r="5569" spans="1:12" x14ac:dyDescent="0.25">
      <c r="A5569" s="3" t="s">
        <v>16971</v>
      </c>
      <c r="B5569" s="4" t="s">
        <v>17658</v>
      </c>
      <c r="C5569" s="4" t="s">
        <v>14</v>
      </c>
      <c r="D5569" s="4" t="s">
        <v>830</v>
      </c>
      <c r="E5569" s="5" t="str">
        <f>"9460215"</f>
        <v>9460215</v>
      </c>
      <c r="F5569" s="3" t="s">
        <v>17857</v>
      </c>
      <c r="G5569" s="5">
        <v>2231350154</v>
      </c>
      <c r="H5569" s="4" t="s">
        <v>17858</v>
      </c>
      <c r="I5569" s="4" t="s">
        <v>17666</v>
      </c>
      <c r="J5569" s="4" t="s">
        <v>17667</v>
      </c>
      <c r="K5569" s="4" t="s">
        <v>17859</v>
      </c>
      <c r="L5569" s="5">
        <v>35131</v>
      </c>
    </row>
    <row r="5570" spans="1:12" x14ac:dyDescent="0.25">
      <c r="A5570" s="3" t="s">
        <v>16971</v>
      </c>
      <c r="B5570" s="4" t="s">
        <v>17658</v>
      </c>
      <c r="C5570" s="4" t="s">
        <v>14</v>
      </c>
      <c r="D5570" s="4" t="s">
        <v>15</v>
      </c>
      <c r="E5570" s="5" t="str">
        <f>"9460018"</f>
        <v>9460018</v>
      </c>
      <c r="F5570" s="3" t="s">
        <v>17860</v>
      </c>
      <c r="G5570" s="5">
        <v>2234031392</v>
      </c>
      <c r="H5570" s="4" t="s">
        <v>17861</v>
      </c>
      <c r="I5570" s="4" t="s">
        <v>17691</v>
      </c>
      <c r="J5570" s="4" t="s">
        <v>17862</v>
      </c>
      <c r="K5570" s="4" t="s">
        <v>17863</v>
      </c>
      <c r="L5570" s="5">
        <v>35004</v>
      </c>
    </row>
    <row r="5571" spans="1:12" x14ac:dyDescent="0.25">
      <c r="A5571" s="3" t="s">
        <v>16971</v>
      </c>
      <c r="B5571" s="4" t="s">
        <v>17658</v>
      </c>
      <c r="C5571" s="4" t="s">
        <v>14</v>
      </c>
      <c r="D5571" s="4" t="s">
        <v>15</v>
      </c>
      <c r="E5571" s="5" t="str">
        <f>"9460185"</f>
        <v>9460185</v>
      </c>
      <c r="F5571" s="3" t="s">
        <v>17864</v>
      </c>
      <c r="G5571" s="5">
        <v>2231350145</v>
      </c>
      <c r="H5571" s="4" t="s">
        <v>17865</v>
      </c>
      <c r="I5571" s="4" t="s">
        <v>17666</v>
      </c>
      <c r="J5571" s="4" t="s">
        <v>17866</v>
      </c>
      <c r="K5571" s="4" t="s">
        <v>17867</v>
      </c>
      <c r="L5571" s="5">
        <v>35100</v>
      </c>
    </row>
    <row r="5572" spans="1:12" x14ac:dyDescent="0.25">
      <c r="A5572" s="3" t="s">
        <v>16971</v>
      </c>
      <c r="B5572" s="4" t="s">
        <v>17658</v>
      </c>
      <c r="C5572" s="4" t="s">
        <v>14</v>
      </c>
      <c r="D5572" s="4" t="s">
        <v>15</v>
      </c>
      <c r="E5572" s="5" t="str">
        <f>"9521023"</f>
        <v>9521023</v>
      </c>
      <c r="F5572" s="3" t="s">
        <v>17868</v>
      </c>
      <c r="G5572" s="5">
        <v>2231022795</v>
      </c>
      <c r="H5572" s="4" t="s">
        <v>17869</v>
      </c>
      <c r="I5572" s="4" t="s">
        <v>17666</v>
      </c>
      <c r="J5572" s="4" t="s">
        <v>17667</v>
      </c>
      <c r="K5572" s="4" t="s">
        <v>17870</v>
      </c>
      <c r="L5572" s="5">
        <v>35131</v>
      </c>
    </row>
    <row r="5573" spans="1:12" x14ac:dyDescent="0.25">
      <c r="A5573" s="3" t="s">
        <v>16971</v>
      </c>
      <c r="B5573" s="4" t="s">
        <v>17658</v>
      </c>
      <c r="C5573" s="4" t="s">
        <v>25</v>
      </c>
      <c r="D5573" s="4" t="s">
        <v>26</v>
      </c>
      <c r="E5573" s="5" t="str">
        <f>"9521005"</f>
        <v>9521005</v>
      </c>
      <c r="F5573" s="3" t="s">
        <v>17871</v>
      </c>
      <c r="G5573" s="5">
        <v>2231350116</v>
      </c>
      <c r="H5573" s="4" t="s">
        <v>17872</v>
      </c>
      <c r="I5573" s="4" t="s">
        <v>17666</v>
      </c>
      <c r="J5573" s="4" t="s">
        <v>17667</v>
      </c>
      <c r="K5573" s="4" t="s">
        <v>17873</v>
      </c>
      <c r="L5573" s="5">
        <v>35100</v>
      </c>
    </row>
    <row r="5574" spans="1:12" x14ac:dyDescent="0.25">
      <c r="A5574" s="3" t="s">
        <v>16971</v>
      </c>
      <c r="B5574" s="4" t="s">
        <v>17658</v>
      </c>
      <c r="C5574" s="4" t="s">
        <v>14</v>
      </c>
      <c r="D5574" s="4" t="s">
        <v>15</v>
      </c>
      <c r="E5574" s="5" t="str">
        <f>"9460176"</f>
        <v>9460176</v>
      </c>
      <c r="F5574" s="3" t="s">
        <v>17874</v>
      </c>
      <c r="G5574" s="5">
        <v>2236350529</v>
      </c>
      <c r="H5574" s="4" t="s">
        <v>17875</v>
      </c>
      <c r="I5574" s="4" t="s">
        <v>17768</v>
      </c>
      <c r="J5574" s="4" t="s">
        <v>17876</v>
      </c>
      <c r="K5574" s="4" t="s">
        <v>17769</v>
      </c>
      <c r="L5574" s="5">
        <v>35011</v>
      </c>
    </row>
    <row r="5575" spans="1:12" x14ac:dyDescent="0.25">
      <c r="A5575" s="3" t="s">
        <v>16971</v>
      </c>
      <c r="B5575" s="4" t="s">
        <v>17658</v>
      </c>
      <c r="C5575" s="4" t="s">
        <v>14</v>
      </c>
      <c r="D5575" s="4" t="s">
        <v>15</v>
      </c>
      <c r="E5575" s="5" t="str">
        <f>"9460274"</f>
        <v>9460274</v>
      </c>
      <c r="F5575" s="3" t="s">
        <v>17877</v>
      </c>
      <c r="G5575" s="5">
        <v>2231350146</v>
      </c>
      <c r="H5575" s="4" t="s">
        <v>17878</v>
      </c>
      <c r="I5575" s="4" t="s">
        <v>17666</v>
      </c>
      <c r="J5575" s="4" t="s">
        <v>17667</v>
      </c>
      <c r="K5575" s="4" t="s">
        <v>17879</v>
      </c>
      <c r="L5575" s="5">
        <v>35100</v>
      </c>
    </row>
    <row r="5576" spans="1:12" x14ac:dyDescent="0.25">
      <c r="A5576" s="3" t="s">
        <v>16971</v>
      </c>
      <c r="B5576" s="4" t="s">
        <v>17658</v>
      </c>
      <c r="C5576" s="4" t="s">
        <v>14</v>
      </c>
      <c r="D5576" s="4" t="s">
        <v>15</v>
      </c>
      <c r="E5576" s="5" t="str">
        <f>"9460146"</f>
        <v>9460146</v>
      </c>
      <c r="F5576" s="3" t="s">
        <v>17880</v>
      </c>
      <c r="G5576" s="5">
        <v>2231350130</v>
      </c>
      <c r="H5576" s="4" t="s">
        <v>17881</v>
      </c>
      <c r="I5576" s="4" t="s">
        <v>17666</v>
      </c>
      <c r="J5576" s="4" t="s">
        <v>17882</v>
      </c>
      <c r="K5576" s="4" t="s">
        <v>17882</v>
      </c>
      <c r="L5576" s="5">
        <v>35014</v>
      </c>
    </row>
    <row r="5577" spans="1:12" x14ac:dyDescent="0.25">
      <c r="A5577" s="3" t="s">
        <v>16971</v>
      </c>
      <c r="B5577" s="4" t="s">
        <v>17658</v>
      </c>
      <c r="C5577" s="4" t="s">
        <v>14</v>
      </c>
      <c r="D5577" s="4" t="s">
        <v>15</v>
      </c>
      <c r="E5577" s="5" t="str">
        <f>"9460204"</f>
        <v>9460204</v>
      </c>
      <c r="F5577" s="3" t="s">
        <v>17883</v>
      </c>
      <c r="G5577" s="5">
        <v>2236350522</v>
      </c>
      <c r="H5577" s="4" t="s">
        <v>17884</v>
      </c>
      <c r="I5577" s="4" t="s">
        <v>17768</v>
      </c>
      <c r="J5577" s="4" t="s">
        <v>17885</v>
      </c>
      <c r="K5577" s="4" t="s">
        <v>17886</v>
      </c>
      <c r="L5577" s="5">
        <v>35003</v>
      </c>
    </row>
    <row r="5578" spans="1:12" x14ac:dyDescent="0.25">
      <c r="A5578" s="3" t="s">
        <v>16971</v>
      </c>
      <c r="B5578" s="4" t="s">
        <v>17658</v>
      </c>
      <c r="C5578" s="4" t="s">
        <v>14</v>
      </c>
      <c r="D5578" s="4" t="s">
        <v>15</v>
      </c>
      <c r="E5578" s="5" t="str">
        <f>"9460138"</f>
        <v>9460138</v>
      </c>
      <c r="F5578" s="3" t="s">
        <v>17887</v>
      </c>
      <c r="G5578" s="5">
        <v>2231350163</v>
      </c>
      <c r="H5578" s="4" t="s">
        <v>17888</v>
      </c>
      <c r="I5578" s="4" t="s">
        <v>17666</v>
      </c>
      <c r="J5578" s="4" t="s">
        <v>17667</v>
      </c>
      <c r="K5578" s="4" t="s">
        <v>17889</v>
      </c>
      <c r="L5578" s="5">
        <v>35100</v>
      </c>
    </row>
    <row r="5579" spans="1:12" x14ac:dyDescent="0.25">
      <c r="A5579" s="3" t="s">
        <v>16971</v>
      </c>
      <c r="B5579" s="4" t="s">
        <v>17658</v>
      </c>
      <c r="C5579" s="4" t="s">
        <v>14</v>
      </c>
      <c r="D5579" s="4" t="s">
        <v>15</v>
      </c>
      <c r="E5579" s="5" t="str">
        <f>"9460205"</f>
        <v>9460205</v>
      </c>
      <c r="F5579" s="3" t="s">
        <v>17890</v>
      </c>
      <c r="G5579" s="5">
        <v>2236045051</v>
      </c>
      <c r="H5579" s="4" t="s">
        <v>17891</v>
      </c>
      <c r="I5579" s="4" t="s">
        <v>17768</v>
      </c>
      <c r="J5579" s="4" t="s">
        <v>17885</v>
      </c>
      <c r="K5579" s="4" t="s">
        <v>17892</v>
      </c>
      <c r="L5579" s="5">
        <v>35003</v>
      </c>
    </row>
    <row r="5580" spans="1:12" x14ac:dyDescent="0.25">
      <c r="A5580" s="3" t="s">
        <v>16971</v>
      </c>
      <c r="B5580" s="4" t="s">
        <v>17893</v>
      </c>
      <c r="C5580" s="4" t="s">
        <v>25</v>
      </c>
      <c r="D5580" s="4" t="s">
        <v>26</v>
      </c>
      <c r="E5580" s="5" t="str">
        <f>"9480106"</f>
        <v>9480106</v>
      </c>
      <c r="F5580" s="3" t="s">
        <v>17894</v>
      </c>
      <c r="G5580" s="5">
        <v>2265350433</v>
      </c>
      <c r="H5580" s="4" t="s">
        <v>17895</v>
      </c>
      <c r="I5580" s="4" t="s">
        <v>17896</v>
      </c>
      <c r="J5580" s="4" t="s">
        <v>17897</v>
      </c>
      <c r="K5580" s="4" t="s">
        <v>17898</v>
      </c>
      <c r="L5580" s="5">
        <v>33100</v>
      </c>
    </row>
    <row r="5581" spans="1:12" x14ac:dyDescent="0.25">
      <c r="A5581" s="3" t="s">
        <v>16971</v>
      </c>
      <c r="B5581" s="4" t="s">
        <v>17893</v>
      </c>
      <c r="C5581" s="4" t="s">
        <v>25</v>
      </c>
      <c r="D5581" s="4" t="s">
        <v>26</v>
      </c>
      <c r="E5581" s="5" t="str">
        <f>"9480053"</f>
        <v>9480053</v>
      </c>
      <c r="F5581" s="3" t="s">
        <v>17899</v>
      </c>
      <c r="G5581" s="5">
        <v>2265028724</v>
      </c>
      <c r="H5581" s="4" t="s">
        <v>17900</v>
      </c>
      <c r="I5581" s="4" t="s">
        <v>17896</v>
      </c>
      <c r="J5581" s="4" t="s">
        <v>17897</v>
      </c>
      <c r="K5581" s="4" t="s">
        <v>17901</v>
      </c>
      <c r="L5581" s="5">
        <v>33100</v>
      </c>
    </row>
    <row r="5582" spans="1:12" x14ac:dyDescent="0.25">
      <c r="A5582" s="3" t="s">
        <v>16971</v>
      </c>
      <c r="B5582" s="4" t="s">
        <v>17893</v>
      </c>
      <c r="C5582" s="4" t="s">
        <v>14</v>
      </c>
      <c r="D5582" s="4" t="s">
        <v>15</v>
      </c>
      <c r="E5582" s="5" t="str">
        <f>"9480052"</f>
        <v>9480052</v>
      </c>
      <c r="F5582" s="3" t="s">
        <v>17902</v>
      </c>
      <c r="G5582" s="5">
        <v>2265028392</v>
      </c>
      <c r="H5582" s="4" t="s">
        <v>17903</v>
      </c>
      <c r="I5582" s="4" t="s">
        <v>17896</v>
      </c>
      <c r="J5582" s="4" t="s">
        <v>17897</v>
      </c>
      <c r="K5582" s="4" t="s">
        <v>17904</v>
      </c>
      <c r="L5582" s="5">
        <v>33100</v>
      </c>
    </row>
    <row r="5583" spans="1:12" x14ac:dyDescent="0.25">
      <c r="A5583" s="3" t="s">
        <v>16971</v>
      </c>
      <c r="B5583" s="4" t="s">
        <v>17893</v>
      </c>
      <c r="C5583" s="4" t="s">
        <v>14</v>
      </c>
      <c r="D5583" s="4" t="s">
        <v>15</v>
      </c>
      <c r="E5583" s="5" t="str">
        <f>"9480064"</f>
        <v>9480064</v>
      </c>
      <c r="F5583" s="3" t="s">
        <v>17905</v>
      </c>
      <c r="G5583" s="5">
        <v>2265041362</v>
      </c>
      <c r="H5583" s="4" t="s">
        <v>17906</v>
      </c>
      <c r="I5583" s="4" t="s">
        <v>17896</v>
      </c>
      <c r="J5583" s="4" t="s">
        <v>17907</v>
      </c>
      <c r="K5583" s="4" t="s">
        <v>17908</v>
      </c>
      <c r="L5583" s="5">
        <v>33200</v>
      </c>
    </row>
    <row r="5584" spans="1:12" x14ac:dyDescent="0.25">
      <c r="A5584" s="3" t="s">
        <v>16971</v>
      </c>
      <c r="B5584" s="4" t="s">
        <v>17893</v>
      </c>
      <c r="C5584" s="4" t="s">
        <v>14</v>
      </c>
      <c r="D5584" s="4" t="s">
        <v>15</v>
      </c>
      <c r="E5584" s="5" t="str">
        <f>"9480067"</f>
        <v>9480067</v>
      </c>
      <c r="F5584" s="3" t="s">
        <v>17909</v>
      </c>
      <c r="G5584" s="5">
        <v>2265051296</v>
      </c>
      <c r="H5584" s="4" t="s">
        <v>17910</v>
      </c>
      <c r="I5584" s="4" t="s">
        <v>17896</v>
      </c>
      <c r="J5584" s="4" t="s">
        <v>17911</v>
      </c>
      <c r="K5584" s="4" t="s">
        <v>17912</v>
      </c>
      <c r="L5584" s="5">
        <v>33050</v>
      </c>
    </row>
    <row r="5585" spans="1:12" x14ac:dyDescent="0.25">
      <c r="A5585" s="3" t="s">
        <v>16971</v>
      </c>
      <c r="B5585" s="4" t="s">
        <v>17893</v>
      </c>
      <c r="C5585" s="4" t="s">
        <v>14</v>
      </c>
      <c r="D5585" s="4" t="s">
        <v>15</v>
      </c>
      <c r="E5585" s="5" t="str">
        <f>"9480065"</f>
        <v>9480065</v>
      </c>
      <c r="F5585" s="3" t="s">
        <v>17913</v>
      </c>
      <c r="G5585" s="5">
        <v>2265091442</v>
      </c>
      <c r="H5585" s="4" t="s">
        <v>17914</v>
      </c>
      <c r="I5585" s="4" t="s">
        <v>17896</v>
      </c>
      <c r="J5585" s="4" t="s">
        <v>17915</v>
      </c>
      <c r="K5585" s="4" t="s">
        <v>17915</v>
      </c>
      <c r="L5585" s="5">
        <v>33057</v>
      </c>
    </row>
    <row r="5586" spans="1:12" x14ac:dyDescent="0.25">
      <c r="A5586" s="3" t="s">
        <v>16971</v>
      </c>
      <c r="B5586" s="4" t="s">
        <v>17893</v>
      </c>
      <c r="C5586" s="4" t="s">
        <v>14</v>
      </c>
      <c r="D5586" s="4" t="s">
        <v>15</v>
      </c>
      <c r="E5586" s="5" t="str">
        <f>"9480010"</f>
        <v>9480010</v>
      </c>
      <c r="F5586" s="3" t="s">
        <v>17916</v>
      </c>
      <c r="G5586" s="5">
        <v>2266031314</v>
      </c>
      <c r="H5586" s="4" t="s">
        <v>17917</v>
      </c>
      <c r="I5586" s="4" t="s">
        <v>17918</v>
      </c>
      <c r="J5586" s="4"/>
      <c r="K5586" s="4" t="s">
        <v>17919</v>
      </c>
      <c r="L5586" s="5">
        <v>33058</v>
      </c>
    </row>
    <row r="5587" spans="1:12" x14ac:dyDescent="0.25">
      <c r="A5587" s="3" t="s">
        <v>16971</v>
      </c>
      <c r="B5587" s="4" t="s">
        <v>17893</v>
      </c>
      <c r="C5587" s="4" t="s">
        <v>14</v>
      </c>
      <c r="D5587" s="4" t="s">
        <v>15</v>
      </c>
      <c r="E5587" s="5" t="str">
        <f>"9480124"</f>
        <v>9480124</v>
      </c>
      <c r="F5587" s="3" t="s">
        <v>17920</v>
      </c>
      <c r="G5587" s="5">
        <v>2265029550</v>
      </c>
      <c r="H5587" s="4" t="s">
        <v>17921</v>
      </c>
      <c r="I5587" s="4" t="s">
        <v>17896</v>
      </c>
      <c r="J5587" s="4" t="s">
        <v>17897</v>
      </c>
      <c r="K5587" s="4" t="s">
        <v>17922</v>
      </c>
      <c r="L5587" s="5">
        <v>33100</v>
      </c>
    </row>
    <row r="5588" spans="1:12" x14ac:dyDescent="0.25">
      <c r="A5588" s="3" t="s">
        <v>16971</v>
      </c>
      <c r="B5588" s="4" t="s">
        <v>17893</v>
      </c>
      <c r="C5588" s="4" t="s">
        <v>14</v>
      </c>
      <c r="D5588" s="4" t="s">
        <v>15</v>
      </c>
      <c r="E5588" s="5" t="str">
        <f>"9480109"</f>
        <v>9480109</v>
      </c>
      <c r="F5588" s="3" t="s">
        <v>17923</v>
      </c>
      <c r="G5588" s="5">
        <v>2265033126</v>
      </c>
      <c r="H5588" s="4" t="s">
        <v>17924</v>
      </c>
      <c r="I5588" s="4" t="s">
        <v>17896</v>
      </c>
      <c r="J5588" s="4" t="s">
        <v>8618</v>
      </c>
      <c r="K5588" s="4" t="s">
        <v>17925</v>
      </c>
      <c r="L5588" s="5">
        <v>33200</v>
      </c>
    </row>
    <row r="5589" spans="1:12" x14ac:dyDescent="0.25">
      <c r="A5589" s="3" t="s">
        <v>16971</v>
      </c>
      <c r="B5589" s="4" t="s">
        <v>17893</v>
      </c>
      <c r="C5589" s="4" t="s">
        <v>25</v>
      </c>
      <c r="D5589" s="4" t="s">
        <v>26</v>
      </c>
      <c r="E5589" s="5" t="str">
        <f>"9480114"</f>
        <v>9480114</v>
      </c>
      <c r="F5589" s="3" t="s">
        <v>17926</v>
      </c>
      <c r="G5589" s="5">
        <v>2265032214</v>
      </c>
      <c r="H5589" s="4" t="s">
        <v>17927</v>
      </c>
      <c r="I5589" s="4" t="s">
        <v>17896</v>
      </c>
      <c r="J5589" s="4" t="s">
        <v>17928</v>
      </c>
      <c r="K5589" s="4" t="s">
        <v>17929</v>
      </c>
      <c r="L5589" s="5">
        <v>33200</v>
      </c>
    </row>
    <row r="5590" spans="1:12" x14ac:dyDescent="0.25">
      <c r="A5590" s="3" t="s">
        <v>16971</v>
      </c>
      <c r="B5590" s="4" t="s">
        <v>17893</v>
      </c>
      <c r="C5590" s="4" t="s">
        <v>14</v>
      </c>
      <c r="D5590" s="4" t="s">
        <v>15</v>
      </c>
      <c r="E5590" s="5" t="str">
        <f>"9480096"</f>
        <v>9480096</v>
      </c>
      <c r="F5590" s="3" t="s">
        <v>17930</v>
      </c>
      <c r="G5590" s="5">
        <v>2265029150</v>
      </c>
      <c r="H5590" s="4" t="s">
        <v>17931</v>
      </c>
      <c r="I5590" s="4" t="s">
        <v>17896</v>
      </c>
      <c r="J5590" s="4" t="s">
        <v>17897</v>
      </c>
      <c r="K5590" s="4" t="s">
        <v>17932</v>
      </c>
      <c r="L5590" s="5">
        <v>33100</v>
      </c>
    </row>
    <row r="5591" spans="1:12" x14ac:dyDescent="0.25">
      <c r="A5591" s="3" t="s">
        <v>16971</v>
      </c>
      <c r="B5591" s="4" t="s">
        <v>17893</v>
      </c>
      <c r="C5591" s="4" t="s">
        <v>14</v>
      </c>
      <c r="D5591" s="4" t="s">
        <v>15</v>
      </c>
      <c r="E5591" s="5" t="str">
        <f>"9480071"</f>
        <v>9480071</v>
      </c>
      <c r="F5591" s="3" t="s">
        <v>17933</v>
      </c>
      <c r="G5591" s="5">
        <v>2265032290</v>
      </c>
      <c r="H5591" s="4" t="s">
        <v>17934</v>
      </c>
      <c r="I5591" s="4" t="s">
        <v>17896</v>
      </c>
      <c r="J5591" s="4" t="s">
        <v>8618</v>
      </c>
      <c r="K5591" s="4" t="s">
        <v>17935</v>
      </c>
      <c r="L5591" s="5">
        <v>33200</v>
      </c>
    </row>
    <row r="5592" spans="1:12" x14ac:dyDescent="0.25">
      <c r="A5592" s="3" t="s">
        <v>16971</v>
      </c>
      <c r="B5592" s="4" t="s">
        <v>17893</v>
      </c>
      <c r="C5592" s="4" t="s">
        <v>25</v>
      </c>
      <c r="D5592" s="4" t="s">
        <v>26</v>
      </c>
      <c r="E5592" s="5" t="str">
        <f>"9480116"</f>
        <v>9480116</v>
      </c>
      <c r="F5592" s="3" t="s">
        <v>17936</v>
      </c>
      <c r="G5592" s="5">
        <v>2266350444</v>
      </c>
      <c r="H5592" s="4" t="s">
        <v>17937</v>
      </c>
      <c r="I5592" s="4" t="s">
        <v>17918</v>
      </c>
      <c r="J5592" s="4" t="s">
        <v>17938</v>
      </c>
      <c r="K5592" s="4" t="s">
        <v>17939</v>
      </c>
      <c r="L5592" s="5">
        <v>33058</v>
      </c>
    </row>
    <row r="5593" spans="1:12" x14ac:dyDescent="0.25">
      <c r="A5593" s="3" t="s">
        <v>16971</v>
      </c>
      <c r="B5593" s="4" t="s">
        <v>17893</v>
      </c>
      <c r="C5593" s="4" t="s">
        <v>14</v>
      </c>
      <c r="D5593" s="4" t="s">
        <v>15</v>
      </c>
      <c r="E5593" s="5" t="str">
        <f>"9480011"</f>
        <v>9480011</v>
      </c>
      <c r="F5593" s="3" t="s">
        <v>17940</v>
      </c>
      <c r="G5593" s="5">
        <v>2634051261</v>
      </c>
      <c r="H5593" s="4" t="s">
        <v>17941</v>
      </c>
      <c r="I5593" s="4" t="s">
        <v>17918</v>
      </c>
      <c r="J5593" s="4" t="s">
        <v>17942</v>
      </c>
      <c r="K5593" s="4" t="s">
        <v>17943</v>
      </c>
      <c r="L5593" s="5">
        <v>33056</v>
      </c>
    </row>
    <row r="5594" spans="1:12" x14ac:dyDescent="0.25">
      <c r="A5594" s="3" t="s">
        <v>16971</v>
      </c>
      <c r="B5594" s="4" t="s">
        <v>17893</v>
      </c>
      <c r="C5594" s="4" t="s">
        <v>25</v>
      </c>
      <c r="D5594" s="4" t="s">
        <v>26</v>
      </c>
      <c r="E5594" s="5" t="str">
        <f>"9480100"</f>
        <v>9480100</v>
      </c>
      <c r="F5594" s="3" t="s">
        <v>17944</v>
      </c>
      <c r="G5594" s="5">
        <v>2265042097</v>
      </c>
      <c r="H5594" s="4" t="s">
        <v>17945</v>
      </c>
      <c r="I5594" s="4" t="s">
        <v>17896</v>
      </c>
      <c r="J5594" s="4" t="s">
        <v>17907</v>
      </c>
      <c r="K5594" s="4" t="s">
        <v>17946</v>
      </c>
      <c r="L5594" s="5">
        <v>33200</v>
      </c>
    </row>
    <row r="5595" spans="1:12" x14ac:dyDescent="0.25">
      <c r="A5595" s="3" t="s">
        <v>16971</v>
      </c>
      <c r="B5595" s="4" t="s">
        <v>17893</v>
      </c>
      <c r="C5595" s="4" t="s">
        <v>14</v>
      </c>
      <c r="D5595" s="4" t="s">
        <v>15</v>
      </c>
      <c r="E5595" s="5" t="str">
        <f>"9480027"</f>
        <v>9480027</v>
      </c>
      <c r="F5595" s="3" t="s">
        <v>17947</v>
      </c>
      <c r="G5595" s="5">
        <v>2266022036</v>
      </c>
      <c r="H5595" s="4" t="s">
        <v>17948</v>
      </c>
      <c r="I5595" s="4" t="s">
        <v>17918</v>
      </c>
      <c r="J5595" s="4" t="s">
        <v>17949</v>
      </c>
      <c r="K5595" s="4" t="s">
        <v>17949</v>
      </c>
      <c r="L5595" s="5">
        <v>33053</v>
      </c>
    </row>
    <row r="5596" spans="1:12" x14ac:dyDescent="0.25">
      <c r="A5596" s="3" t="s">
        <v>16971</v>
      </c>
      <c r="B5596" s="4" t="s">
        <v>17893</v>
      </c>
      <c r="C5596" s="4" t="s">
        <v>25</v>
      </c>
      <c r="D5596" s="4" t="s">
        <v>26</v>
      </c>
      <c r="E5596" s="5" t="str">
        <f>"9480055"</f>
        <v>9480055</v>
      </c>
      <c r="F5596" s="3" t="s">
        <v>17950</v>
      </c>
      <c r="G5596" s="5">
        <v>2265350459</v>
      </c>
      <c r="H5596" s="4" t="s">
        <v>17951</v>
      </c>
      <c r="I5596" s="4" t="s">
        <v>17896</v>
      </c>
      <c r="J5596" s="4" t="s">
        <v>17897</v>
      </c>
      <c r="K5596" s="4" t="s">
        <v>17952</v>
      </c>
      <c r="L5596" s="5">
        <v>33100</v>
      </c>
    </row>
    <row r="5597" spans="1:12" x14ac:dyDescent="0.25">
      <c r="A5597" s="3" t="s">
        <v>16971</v>
      </c>
      <c r="B5597" s="4" t="s">
        <v>17893</v>
      </c>
      <c r="C5597" s="4" t="s">
        <v>14</v>
      </c>
      <c r="D5597" s="4" t="s">
        <v>15</v>
      </c>
      <c r="E5597" s="5" t="str">
        <f>"9480054"</f>
        <v>9480054</v>
      </c>
      <c r="F5597" s="3" t="s">
        <v>17953</v>
      </c>
      <c r="G5597" s="5">
        <v>2265028394</v>
      </c>
      <c r="H5597" s="4" t="s">
        <v>17954</v>
      </c>
      <c r="I5597" s="4" t="s">
        <v>17896</v>
      </c>
      <c r="J5597" s="4" t="s">
        <v>17897</v>
      </c>
      <c r="K5597" s="4" t="s">
        <v>17955</v>
      </c>
      <c r="L5597" s="5">
        <v>33100</v>
      </c>
    </row>
  </sheetData>
  <autoFilter ref="A1:L559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ΑΘΜΙΑ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Φουρνάρη</dc:creator>
  <cp:lastModifiedBy>Μαρία Φουρνάρη</cp:lastModifiedBy>
  <dcterms:created xsi:type="dcterms:W3CDTF">2025-08-29T07:54:03Z</dcterms:created>
  <dcterms:modified xsi:type="dcterms:W3CDTF">2025-08-29T07:55:37Z</dcterms:modified>
</cp:coreProperties>
</file>